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15" windowWidth="10950" windowHeight="11760" activeTab="1"/>
  </bookViews>
  <sheets>
    <sheet name="ТоварСкидки" sheetId="1" r:id="rId1"/>
    <sheet name="Чек" sheetId="2" r:id="rId2"/>
  </sheets>
  <definedNames>
    <definedName name="_xlfn.BAHTTEXT" hidden="1">#NAME?</definedName>
    <definedName name="Нал">'ТоварСкидки'!$K$1:$K$3</definedName>
    <definedName name="Товар">OFFSET('ТоварСкидки'!$B$1,1,0,COUNTA('ТоварСкидки'!$B:$B)-1,1)</definedName>
    <definedName name="Цифры">'ТоварСкидки'!$A:$A</definedName>
  </definedNames>
  <calcPr fullCalcOnLoad="1"/>
</workbook>
</file>

<file path=xl/sharedStrings.xml><?xml version="1.0" encoding="utf-8"?>
<sst xmlns="http://schemas.openxmlformats.org/spreadsheetml/2006/main" count="85" uniqueCount="77">
  <si>
    <t>Кол-во</t>
  </si>
  <si>
    <t>Цена</t>
  </si>
  <si>
    <t>Сумма</t>
  </si>
  <si>
    <t>Форма футбольная (детская)</t>
  </si>
  <si>
    <t>Товар</t>
  </si>
  <si>
    <t>Нанесение номеров (больших)</t>
  </si>
  <si>
    <t>Нанесение номеров (малых)</t>
  </si>
  <si>
    <t>Компьютерная вышивка</t>
  </si>
  <si>
    <t>Программа КомпВышивки</t>
  </si>
  <si>
    <t>Нанесение адреса сайта</t>
  </si>
  <si>
    <t>Нашивка 3 цвета - Флаг</t>
  </si>
  <si>
    <t>№</t>
  </si>
  <si>
    <t>Дата:</t>
  </si>
  <si>
    <t>Скид%</t>
  </si>
  <si>
    <t>ТОВАРНЫЙ ЧЕК №</t>
  </si>
  <si>
    <t>Оплата за наличный расчёт</t>
  </si>
  <si>
    <t>Предоплата за наличный расчёт</t>
  </si>
  <si>
    <t>ОбщСкид</t>
  </si>
  <si>
    <t>Нанесение фамилии</t>
  </si>
  <si>
    <t>ИНДЕКС ЗАКАЗА В % =</t>
  </si>
  <si>
    <t>ИНДЕКС ЗАКАЗА В РУБ =</t>
  </si>
  <si>
    <t>Индивидуальные скидки</t>
  </si>
  <si>
    <t>+ СкидРуб</t>
  </si>
  <si>
    <t>рублей</t>
  </si>
  <si>
    <t xml:space="preserve">восемьдесят </t>
  </si>
  <si>
    <t xml:space="preserve">девяносто </t>
  </si>
  <si>
    <t xml:space="preserve">один </t>
  </si>
  <si>
    <t xml:space="preserve">одна </t>
  </si>
  <si>
    <t xml:space="preserve">семнадцать </t>
  </si>
  <si>
    <t xml:space="preserve">сто </t>
  </si>
  <si>
    <t xml:space="preserve">два </t>
  </si>
  <si>
    <t xml:space="preserve">две </t>
  </si>
  <si>
    <t xml:space="preserve">восемнадцать </t>
  </si>
  <si>
    <t xml:space="preserve">двести </t>
  </si>
  <si>
    <t xml:space="preserve">три </t>
  </si>
  <si>
    <t xml:space="preserve">десять </t>
  </si>
  <si>
    <t xml:space="preserve">девятнадцать </t>
  </si>
  <si>
    <t xml:space="preserve">триста </t>
  </si>
  <si>
    <t xml:space="preserve">четыре </t>
  </si>
  <si>
    <t xml:space="preserve">одиннадцать </t>
  </si>
  <si>
    <t xml:space="preserve">двадцать </t>
  </si>
  <si>
    <t xml:space="preserve">четыреста </t>
  </si>
  <si>
    <t xml:space="preserve">пять </t>
  </si>
  <si>
    <t xml:space="preserve">двенадцать </t>
  </si>
  <si>
    <t xml:space="preserve">тридцать </t>
  </si>
  <si>
    <t xml:space="preserve">пятьсот </t>
  </si>
  <si>
    <t xml:space="preserve">шесть </t>
  </si>
  <si>
    <t xml:space="preserve">тринадцать </t>
  </si>
  <si>
    <t xml:space="preserve">сорок </t>
  </si>
  <si>
    <t xml:space="preserve">шестьсот </t>
  </si>
  <si>
    <t xml:space="preserve">семь </t>
  </si>
  <si>
    <t xml:space="preserve">четырнадцать </t>
  </si>
  <si>
    <t xml:space="preserve">пятьдесят </t>
  </si>
  <si>
    <t xml:space="preserve">семьсот </t>
  </si>
  <si>
    <t xml:space="preserve">восемь </t>
  </si>
  <si>
    <t xml:space="preserve">пятнадцать </t>
  </si>
  <si>
    <t xml:space="preserve">шестьдесят </t>
  </si>
  <si>
    <t xml:space="preserve">восемьсот </t>
  </si>
  <si>
    <t xml:space="preserve">девять </t>
  </si>
  <si>
    <t xml:space="preserve">шестнадцать </t>
  </si>
  <si>
    <t xml:space="preserve">семьдесят </t>
  </si>
  <si>
    <t xml:space="preserve">девятьсот </t>
  </si>
  <si>
    <t>Накидки</t>
  </si>
  <si>
    <t>Гетры</t>
  </si>
  <si>
    <t>Щитки</t>
  </si>
  <si>
    <t>Пришив флагов</t>
  </si>
  <si>
    <t>Вратарский свитер</t>
  </si>
  <si>
    <t>Вратарские брюки</t>
  </si>
  <si>
    <t>Шипы железные - OLL</t>
  </si>
  <si>
    <t>Костюм спортивный</t>
  </si>
  <si>
    <t>Костюм флаг</t>
  </si>
  <si>
    <t>Костюм логотип на спине</t>
  </si>
  <si>
    <t>Костюм шеврон МЗ</t>
  </si>
  <si>
    <t>Костюм номер</t>
  </si>
  <si>
    <t>Пришивка шеврона</t>
  </si>
  <si>
    <t>Фигурка наградная футбол</t>
  </si>
  <si>
    <t>Кубок большой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</si>
</sst>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yy"/>
    <numFmt numFmtId="165" formatCode="yydd\ hmm"/>
    <numFmt numFmtId="166" formatCode="yydd\-hmm"/>
    <numFmt numFmtId="167" formatCode="dd/mmm/yyyy"/>
    <numFmt numFmtId="168" formatCode="\M\M\Mdd\-hmm"/>
    <numFmt numFmtId="169" formatCode="mmdd\-hmm"/>
    <numFmt numFmtId="170" formatCode="#,##0&quot;р.&quot;"/>
    <numFmt numFmtId="171" formatCode="#,##0.00&quot;р.&quot;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14"/>
      <color indexed="17"/>
      <name val="Tahoma"/>
      <family val="2"/>
    </font>
    <font>
      <sz val="10"/>
      <color indexed="17"/>
      <name val="Arial Cyr"/>
      <family val="0"/>
    </font>
    <font>
      <b/>
      <sz val="14"/>
      <color indexed="12"/>
      <name val="Tahoma"/>
      <family val="2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0"/>
      <color indexed="9"/>
      <name val="Arial Cyr"/>
      <family val="2"/>
    </font>
    <font>
      <u val="single"/>
      <sz val="10"/>
      <color indexed="12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9" fontId="3" fillId="24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0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24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170" fontId="3" fillId="25" borderId="25" xfId="0" applyNumberFormat="1" applyFont="1" applyFill="1" applyBorder="1" applyAlignment="1">
      <alignment horizontal="center"/>
    </xf>
    <xf numFmtId="170" fontId="3" fillId="26" borderId="25" xfId="0" applyNumberFormat="1" applyFont="1" applyFill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70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170" fontId="6" fillId="0" borderId="26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9" fontId="4" fillId="0" borderId="26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0" fontId="6" fillId="0" borderId="14" xfId="0" applyNumberFormat="1" applyFont="1" applyBorder="1" applyAlignment="1" applyProtection="1">
      <alignment horizontal="center"/>
      <protection/>
    </xf>
    <xf numFmtId="9" fontId="4" fillId="0" borderId="14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right"/>
    </xf>
    <xf numFmtId="0" fontId="1" fillId="0" borderId="27" xfId="0" applyNumberFormat="1" applyFont="1" applyBorder="1" applyAlignment="1">
      <alignment/>
    </xf>
    <xf numFmtId="0" fontId="1" fillId="0" borderId="27" xfId="0" applyNumberFormat="1" applyFont="1" applyBorder="1" applyAlignment="1">
      <alignment horizontal="left"/>
    </xf>
    <xf numFmtId="0" fontId="26" fillId="0" borderId="27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4" fontId="1" fillId="0" borderId="27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3" fontId="1" fillId="0" borderId="27" xfId="0" applyNumberFormat="1" applyFont="1" applyBorder="1" applyAlignment="1">
      <alignment horizontal="left"/>
    </xf>
    <xf numFmtId="1" fontId="1" fillId="0" borderId="27" xfId="0" applyNumberFormat="1" applyFont="1" applyBorder="1" applyAlignment="1">
      <alignment horizontal="left"/>
    </xf>
    <xf numFmtId="0" fontId="1" fillId="22" borderId="29" xfId="0" applyNumberFormat="1" applyFont="1" applyFill="1" applyBorder="1" applyAlignment="1">
      <alignment/>
    </xf>
    <xf numFmtId="0" fontId="27" fillId="22" borderId="0" xfId="0" applyNumberFormat="1" applyFont="1" applyFill="1" applyBorder="1" applyAlignment="1">
      <alignment/>
    </xf>
    <xf numFmtId="0" fontId="1" fillId="0" borderId="27" xfId="0" applyNumberFormat="1" applyFont="1" applyBorder="1" applyAlignment="1">
      <alignment horizontal="left" shrinkToFit="1"/>
    </xf>
    <xf numFmtId="0" fontId="1" fillId="27" borderId="27" xfId="0" applyNumberFormat="1" applyFont="1" applyFill="1" applyBorder="1" applyAlignment="1">
      <alignment horizontal="left"/>
    </xf>
    <xf numFmtId="0" fontId="27" fillId="0" borderId="30" xfId="0" applyNumberFormat="1" applyFont="1" applyBorder="1" applyAlignment="1">
      <alignment/>
    </xf>
    <xf numFmtId="0" fontId="27" fillId="0" borderId="31" xfId="0" applyNumberFormat="1" applyFont="1" applyBorder="1" applyAlignment="1">
      <alignment/>
    </xf>
    <xf numFmtId="171" fontId="28" fillId="28" borderId="27" xfId="0" applyNumberFormat="1" applyFont="1" applyFill="1" applyBorder="1" applyAlignment="1">
      <alignment horizontal="right"/>
    </xf>
    <xf numFmtId="0" fontId="27" fillId="0" borderId="32" xfId="0" applyNumberFormat="1" applyFont="1" applyBorder="1" applyAlignment="1">
      <alignment/>
    </xf>
    <xf numFmtId="0" fontId="27" fillId="22" borderId="33" xfId="0" applyNumberFormat="1" applyFont="1" applyFill="1" applyBorder="1" applyAlignment="1">
      <alignment/>
    </xf>
    <xf numFmtId="0" fontId="1" fillId="22" borderId="34" xfId="0" applyNumberFormat="1" applyFont="1" applyFill="1" applyBorder="1" applyAlignment="1">
      <alignment/>
    </xf>
    <xf numFmtId="0" fontId="27" fillId="22" borderId="35" xfId="0" applyNumberFormat="1" applyFont="1" applyFill="1" applyBorder="1" applyAlignment="1">
      <alignment/>
    </xf>
    <xf numFmtId="0" fontId="27" fillId="22" borderId="36" xfId="0" applyNumberFormat="1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0" fontId="2" fillId="0" borderId="37" xfId="0" applyNumberFormat="1" applyFont="1" applyBorder="1" applyAlignment="1">
      <alignment horizontal="center"/>
    </xf>
    <xf numFmtId="9" fontId="2" fillId="0" borderId="37" xfId="0" applyNumberFormat="1" applyFont="1" applyBorder="1" applyAlignment="1">
      <alignment horizontal="center"/>
    </xf>
    <xf numFmtId="171" fontId="2" fillId="0" borderId="37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0" fontId="2" fillId="0" borderId="39" xfId="0" applyNumberFormat="1" applyFont="1" applyBorder="1" applyAlignment="1">
      <alignment horizontal="center"/>
    </xf>
    <xf numFmtId="9" fontId="2" fillId="0" borderId="3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1" fontId="2" fillId="0" borderId="13" xfId="0" applyNumberFormat="1" applyFont="1" applyBorder="1" applyAlignment="1">
      <alignment horizontal="center"/>
    </xf>
    <xf numFmtId="170" fontId="2" fillId="0" borderId="40" xfId="0" applyNumberFormat="1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170" fontId="2" fillId="0" borderId="41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170" fontId="2" fillId="0" borderId="41" xfId="0" applyNumberFormat="1" applyFont="1" applyBorder="1" applyAlignment="1">
      <alignment horizontal="right"/>
    </xf>
    <xf numFmtId="171" fontId="2" fillId="0" borderId="42" xfId="0" applyNumberFormat="1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171" fontId="2" fillId="0" borderId="43" xfId="0" applyNumberFormat="1" applyFont="1" applyBorder="1" applyAlignment="1">
      <alignment horizontal="center"/>
    </xf>
    <xf numFmtId="171" fontId="2" fillId="0" borderId="44" xfId="0" applyNumberFormat="1" applyFont="1" applyBorder="1" applyAlignment="1">
      <alignment horizontal="center"/>
    </xf>
    <xf numFmtId="171" fontId="2" fillId="0" borderId="45" xfId="0" applyNumberFormat="1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/>
    </xf>
    <xf numFmtId="169" fontId="2" fillId="0" borderId="24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="90" zoomScaleNormal="90" zoomScalePageLayoutView="0" workbookViewId="0" topLeftCell="A1">
      <selection activeCell="C7" sqref="C7"/>
    </sheetView>
  </sheetViews>
  <sheetFormatPr defaultColWidth="9.00390625" defaultRowHeight="12.75"/>
  <cols>
    <col min="1" max="1" width="5.375" style="1" customWidth="1"/>
    <col min="2" max="2" width="46.25390625" style="1" customWidth="1"/>
    <col min="3" max="3" width="17.25390625" style="6" customWidth="1"/>
    <col min="4" max="4" width="12.00390625" style="38" bestFit="1" customWidth="1"/>
    <col min="5" max="6" width="13.75390625" style="38" bestFit="1" customWidth="1"/>
    <col min="7" max="7" width="12.00390625" style="6" bestFit="1" customWidth="1"/>
    <col min="8" max="9" width="13.75390625" style="6" bestFit="1" customWidth="1"/>
    <col min="10" max="10" width="2.625" style="6" customWidth="1"/>
    <col min="11" max="11" width="12.00390625" style="47" bestFit="1" customWidth="1"/>
    <col min="12" max="12" width="13.75390625" style="47" bestFit="1" customWidth="1"/>
    <col min="13" max="13" width="13.875" style="47" bestFit="1" customWidth="1"/>
    <col min="14" max="14" width="13.75390625" style="47" bestFit="1" customWidth="1"/>
    <col min="15" max="16384" width="9.125" style="1" customWidth="1"/>
  </cols>
  <sheetData>
    <row r="1" spans="1:11" ht="18.75" thickBot="1">
      <c r="A1" s="16"/>
      <c r="B1" s="21" t="s">
        <v>4</v>
      </c>
      <c r="C1" s="20" t="s">
        <v>1</v>
      </c>
      <c r="D1" s="28">
        <v>1</v>
      </c>
      <c r="E1" s="28">
        <v>10000</v>
      </c>
      <c r="F1" s="28">
        <v>25000</v>
      </c>
      <c r="G1" s="29">
        <f>D1</f>
        <v>1</v>
      </c>
      <c r="H1" s="29">
        <f>E1</f>
        <v>10000</v>
      </c>
      <c r="I1" s="29">
        <f>F1</f>
        <v>25000</v>
      </c>
      <c r="J1" s="12"/>
      <c r="K1" s="46" t="s">
        <v>15</v>
      </c>
    </row>
    <row r="2" spans="1:11" ht="18">
      <c r="A2" s="19">
        <v>1</v>
      </c>
      <c r="B2" s="22" t="s">
        <v>3</v>
      </c>
      <c r="C2" s="92">
        <v>1050</v>
      </c>
      <c r="D2" s="34"/>
      <c r="E2" s="45"/>
      <c r="F2" s="45"/>
      <c r="G2" s="30">
        <v>0</v>
      </c>
      <c r="H2" s="30">
        <v>0</v>
      </c>
      <c r="I2" s="30">
        <v>0</v>
      </c>
      <c r="J2" s="11"/>
      <c r="K2" s="46" t="s">
        <v>16</v>
      </c>
    </row>
    <row r="3" spans="1:14" ht="18">
      <c r="A3" s="17">
        <v>2</v>
      </c>
      <c r="B3" s="23" t="s">
        <v>5</v>
      </c>
      <c r="C3" s="93">
        <v>125</v>
      </c>
      <c r="D3" s="45"/>
      <c r="E3" s="45"/>
      <c r="F3" s="45"/>
      <c r="G3" s="44">
        <v>0</v>
      </c>
      <c r="H3" s="44">
        <v>0</v>
      </c>
      <c r="I3" s="44">
        <v>0</v>
      </c>
      <c r="J3" s="11"/>
      <c r="K3" s="48" t="s">
        <v>21</v>
      </c>
      <c r="L3" s="49"/>
      <c r="M3" s="49"/>
      <c r="N3" s="49"/>
    </row>
    <row r="4" spans="1:14" ht="18">
      <c r="A4" s="17">
        <v>3</v>
      </c>
      <c r="B4" s="23" t="s">
        <v>6</v>
      </c>
      <c r="C4" s="93">
        <v>85</v>
      </c>
      <c r="D4" s="45"/>
      <c r="E4" s="45"/>
      <c r="F4" s="45"/>
      <c r="G4" s="44">
        <v>0</v>
      </c>
      <c r="H4" s="44">
        <v>0</v>
      </c>
      <c r="I4" s="44">
        <v>0</v>
      </c>
      <c r="K4" s="49"/>
      <c r="L4" s="49"/>
      <c r="M4" s="49"/>
      <c r="N4" s="49"/>
    </row>
    <row r="5" spans="1:14" ht="18">
      <c r="A5" s="17">
        <v>4</v>
      </c>
      <c r="B5" s="23" t="s">
        <v>18</v>
      </c>
      <c r="C5" s="93">
        <v>125</v>
      </c>
      <c r="D5" s="45"/>
      <c r="E5" s="45"/>
      <c r="F5" s="45"/>
      <c r="G5" s="44">
        <v>0</v>
      </c>
      <c r="H5" s="44">
        <v>0</v>
      </c>
      <c r="I5" s="44">
        <v>0</v>
      </c>
      <c r="K5" s="48" t="s">
        <v>19</v>
      </c>
      <c r="L5" s="49"/>
      <c r="M5" s="49"/>
      <c r="N5" s="49">
        <f>LOOKUP(SUM(Чек!J3:Чек!J22),K7:N7,K6:N6)</f>
        <v>4</v>
      </c>
    </row>
    <row r="6" spans="1:14" ht="18">
      <c r="A6" s="17">
        <v>5</v>
      </c>
      <c r="B6" s="23" t="s">
        <v>9</v>
      </c>
      <c r="C6" s="93">
        <v>125</v>
      </c>
      <c r="D6" s="45"/>
      <c r="E6" s="45"/>
      <c r="F6" s="45"/>
      <c r="G6" s="44">
        <v>0</v>
      </c>
      <c r="H6" s="44">
        <v>0</v>
      </c>
      <c r="I6" s="44">
        <v>0</v>
      </c>
      <c r="K6" s="50">
        <v>0</v>
      </c>
      <c r="L6" s="50">
        <v>3</v>
      </c>
      <c r="M6" s="50">
        <v>4</v>
      </c>
      <c r="N6" s="50">
        <v>5</v>
      </c>
    </row>
    <row r="7" spans="1:14" ht="18">
      <c r="A7" s="17">
        <v>6</v>
      </c>
      <c r="B7" s="23" t="s">
        <v>7</v>
      </c>
      <c r="C7" s="93">
        <v>85</v>
      </c>
      <c r="D7" s="45"/>
      <c r="E7" s="45"/>
      <c r="F7" s="45"/>
      <c r="G7" s="44">
        <v>0</v>
      </c>
      <c r="H7" s="44">
        <v>0</v>
      </c>
      <c r="I7" s="44">
        <v>0</v>
      </c>
      <c r="K7" s="51">
        <v>0</v>
      </c>
      <c r="L7" s="51">
        <f>D1</f>
        <v>1</v>
      </c>
      <c r="M7" s="51">
        <f>E1</f>
        <v>10000</v>
      </c>
      <c r="N7" s="51">
        <f>F1</f>
        <v>25000</v>
      </c>
    </row>
    <row r="8" spans="1:14" ht="18">
      <c r="A8" s="17">
        <v>7</v>
      </c>
      <c r="B8" s="23" t="s">
        <v>8</v>
      </c>
      <c r="C8" s="93">
        <v>450</v>
      </c>
      <c r="D8" s="45"/>
      <c r="E8" s="45"/>
      <c r="F8" s="45"/>
      <c r="G8" s="44">
        <v>0</v>
      </c>
      <c r="H8" s="44">
        <v>0</v>
      </c>
      <c r="I8" s="44">
        <v>0</v>
      </c>
      <c r="K8" s="48" t="str">
        <f>IF(SUM(Чек!J3:Чек!J22)&gt;=F1,"VIP ",IF(SUM(Чек!J3:Чек!J22)&gt;=E1,"PRO ","стандартного "))</f>
        <v>PRO </v>
      </c>
      <c r="L8" s="49"/>
      <c r="M8" s="49"/>
      <c r="N8" s="49"/>
    </row>
    <row r="9" spans="1:14" ht="18">
      <c r="A9" s="17">
        <v>8</v>
      </c>
      <c r="B9" s="23" t="s">
        <v>10</v>
      </c>
      <c r="C9" s="93">
        <v>95</v>
      </c>
      <c r="D9" s="45"/>
      <c r="E9" s="45"/>
      <c r="F9" s="45"/>
      <c r="G9" s="44">
        <v>0</v>
      </c>
      <c r="H9" s="44">
        <v>0</v>
      </c>
      <c r="I9" s="44">
        <v>0</v>
      </c>
      <c r="K9" s="48" t="s">
        <v>20</v>
      </c>
      <c r="L9" s="49"/>
      <c r="M9" s="49"/>
      <c r="N9" s="49">
        <f>LOOKUP(SUM(Чек!J3:Чек!J22),K11:N11,K10:N10)</f>
        <v>7</v>
      </c>
    </row>
    <row r="10" spans="1:14" ht="18">
      <c r="A10" s="17">
        <v>9</v>
      </c>
      <c r="B10" s="23" t="s">
        <v>62</v>
      </c>
      <c r="C10" s="93">
        <v>210</v>
      </c>
      <c r="D10" s="45"/>
      <c r="E10" s="45"/>
      <c r="F10" s="45"/>
      <c r="G10" s="44">
        <v>0</v>
      </c>
      <c r="H10" s="44">
        <v>0</v>
      </c>
      <c r="I10" s="44">
        <v>0</v>
      </c>
      <c r="K10" s="50">
        <v>0</v>
      </c>
      <c r="L10" s="50">
        <v>6</v>
      </c>
      <c r="M10" s="50">
        <v>7</v>
      </c>
      <c r="N10" s="50">
        <v>8</v>
      </c>
    </row>
    <row r="11" spans="1:14" ht="18">
      <c r="A11" s="17">
        <v>10</v>
      </c>
      <c r="B11" s="23" t="s">
        <v>63</v>
      </c>
      <c r="C11" s="93">
        <v>70</v>
      </c>
      <c r="D11" s="45"/>
      <c r="E11" s="45"/>
      <c r="F11" s="45"/>
      <c r="G11" s="44">
        <v>0</v>
      </c>
      <c r="H11" s="44">
        <v>0</v>
      </c>
      <c r="I11" s="44">
        <v>0</v>
      </c>
      <c r="K11" s="51">
        <v>0</v>
      </c>
      <c r="L11" s="51">
        <f>G1</f>
        <v>1</v>
      </c>
      <c r="M11" s="51">
        <f>H1</f>
        <v>10000</v>
      </c>
      <c r="N11" s="51">
        <f>I1</f>
        <v>25000</v>
      </c>
    </row>
    <row r="12" spans="1:9" ht="18">
      <c r="A12" s="17">
        <v>11</v>
      </c>
      <c r="B12" s="23" t="s">
        <v>64</v>
      </c>
      <c r="C12" s="93">
        <v>150</v>
      </c>
      <c r="D12" s="45"/>
      <c r="E12" s="45"/>
      <c r="F12" s="45"/>
      <c r="G12" s="44">
        <v>0</v>
      </c>
      <c r="H12" s="44">
        <v>0</v>
      </c>
      <c r="I12" s="44">
        <v>0</v>
      </c>
    </row>
    <row r="13" spans="1:9" ht="18">
      <c r="A13" s="17">
        <v>12</v>
      </c>
      <c r="B13" s="23" t="s">
        <v>65</v>
      </c>
      <c r="C13" s="93">
        <v>10</v>
      </c>
      <c r="D13" s="45"/>
      <c r="E13" s="45"/>
      <c r="F13" s="45"/>
      <c r="G13" s="44">
        <v>0</v>
      </c>
      <c r="H13" s="44">
        <v>0</v>
      </c>
      <c r="I13" s="44">
        <v>0</v>
      </c>
    </row>
    <row r="14" spans="1:9" ht="18">
      <c r="A14" s="17">
        <v>13</v>
      </c>
      <c r="B14" s="23" t="s">
        <v>66</v>
      </c>
      <c r="C14" s="93">
        <v>1500</v>
      </c>
      <c r="D14" s="45"/>
      <c r="E14" s="45"/>
      <c r="F14" s="45"/>
      <c r="G14" s="44">
        <v>0</v>
      </c>
      <c r="H14" s="44">
        <v>0</v>
      </c>
      <c r="I14" s="44">
        <v>0</v>
      </c>
    </row>
    <row r="15" spans="1:10" ht="18">
      <c r="A15" s="17">
        <v>14</v>
      </c>
      <c r="B15" s="23" t="s">
        <v>67</v>
      </c>
      <c r="C15" s="93">
        <v>1200</v>
      </c>
      <c r="D15" s="45"/>
      <c r="E15" s="45"/>
      <c r="F15" s="45"/>
      <c r="G15" s="44">
        <v>0</v>
      </c>
      <c r="H15" s="44">
        <v>0</v>
      </c>
      <c r="I15" s="44">
        <v>0</v>
      </c>
      <c r="J15"/>
    </row>
    <row r="16" spans="1:10" ht="18">
      <c r="A16" s="17">
        <v>15</v>
      </c>
      <c r="B16" s="23" t="s">
        <v>68</v>
      </c>
      <c r="C16" s="93">
        <v>180</v>
      </c>
      <c r="D16" s="45"/>
      <c r="E16" s="45"/>
      <c r="F16" s="45"/>
      <c r="G16" s="44">
        <v>0</v>
      </c>
      <c r="H16" s="44">
        <v>0</v>
      </c>
      <c r="I16" s="44">
        <v>0</v>
      </c>
      <c r="J16"/>
    </row>
    <row r="17" spans="1:10" ht="18">
      <c r="A17" s="17">
        <v>16</v>
      </c>
      <c r="B17" s="23" t="s">
        <v>69</v>
      </c>
      <c r="C17" s="93">
        <v>2350</v>
      </c>
      <c r="D17" s="36"/>
      <c r="E17" s="36"/>
      <c r="F17" s="36"/>
      <c r="G17" s="32"/>
      <c r="H17" s="32"/>
      <c r="I17" s="32"/>
      <c r="J17"/>
    </row>
    <row r="18" spans="1:9" ht="18">
      <c r="A18" s="17">
        <v>17</v>
      </c>
      <c r="B18" s="23" t="s">
        <v>70</v>
      </c>
      <c r="C18" s="93">
        <v>95</v>
      </c>
      <c r="D18" s="35"/>
      <c r="E18" s="35"/>
      <c r="F18" s="35"/>
      <c r="G18" s="31"/>
      <c r="H18" s="31"/>
      <c r="I18" s="31"/>
    </row>
    <row r="19" spans="1:9" ht="18">
      <c r="A19" s="17">
        <v>18</v>
      </c>
      <c r="B19" s="23" t="s">
        <v>71</v>
      </c>
      <c r="C19" s="93">
        <v>150</v>
      </c>
      <c r="D19" s="35"/>
      <c r="E19" s="35"/>
      <c r="F19" s="35"/>
      <c r="G19" s="31"/>
      <c r="H19" s="31"/>
      <c r="I19" s="31"/>
    </row>
    <row r="20" spans="1:9" ht="18">
      <c r="A20" s="17">
        <v>19</v>
      </c>
      <c r="B20" s="23" t="s">
        <v>72</v>
      </c>
      <c r="C20" s="93">
        <v>160</v>
      </c>
      <c r="D20" s="35"/>
      <c r="E20" s="35"/>
      <c r="F20" s="35"/>
      <c r="G20" s="31"/>
      <c r="H20" s="31"/>
      <c r="I20" s="31"/>
    </row>
    <row r="21" spans="1:9" ht="18">
      <c r="A21" s="17">
        <v>20</v>
      </c>
      <c r="B21" s="23" t="s">
        <v>73</v>
      </c>
      <c r="C21" s="93">
        <v>100</v>
      </c>
      <c r="D21" s="35"/>
      <c r="E21" s="35"/>
      <c r="F21" s="35"/>
      <c r="G21" s="31"/>
      <c r="H21" s="31"/>
      <c r="I21" s="31"/>
    </row>
    <row r="22" spans="1:9" ht="18">
      <c r="A22" s="17">
        <v>21</v>
      </c>
      <c r="B22" s="23" t="s">
        <v>74</v>
      </c>
      <c r="C22" s="93">
        <v>40</v>
      </c>
      <c r="D22" s="35"/>
      <c r="E22" s="35"/>
      <c r="F22" s="35"/>
      <c r="G22" s="31"/>
      <c r="H22" s="31"/>
      <c r="I22" s="31"/>
    </row>
    <row r="23" spans="1:9" ht="18">
      <c r="A23" s="17">
        <v>22</v>
      </c>
      <c r="B23" s="23" t="s">
        <v>75</v>
      </c>
      <c r="C23" s="93">
        <v>350</v>
      </c>
      <c r="D23" s="35"/>
      <c r="E23" s="35"/>
      <c r="F23" s="35"/>
      <c r="G23" s="31"/>
      <c r="H23" s="31"/>
      <c r="I23" s="31"/>
    </row>
    <row r="24" spans="1:9" ht="18">
      <c r="A24" s="17">
        <v>23</v>
      </c>
      <c r="B24" s="23" t="s">
        <v>76</v>
      </c>
      <c r="C24" s="93">
        <v>550</v>
      </c>
      <c r="D24" s="35"/>
      <c r="E24" s="35"/>
      <c r="F24" s="35"/>
      <c r="G24" s="31"/>
      <c r="H24" s="31"/>
      <c r="I24" s="31"/>
    </row>
    <row r="25" spans="1:9" ht="18">
      <c r="A25" s="17">
        <v>24</v>
      </c>
      <c r="B25" s="23"/>
      <c r="C25" s="93"/>
      <c r="D25" s="35"/>
      <c r="E25" s="35"/>
      <c r="F25" s="35"/>
      <c r="G25" s="31"/>
      <c r="H25" s="31"/>
      <c r="I25" s="31"/>
    </row>
    <row r="26" spans="1:9" ht="18">
      <c r="A26" s="17">
        <v>25</v>
      </c>
      <c r="B26" s="23"/>
      <c r="C26" s="93"/>
      <c r="D26" s="35"/>
      <c r="E26" s="35"/>
      <c r="F26" s="35"/>
      <c r="G26" s="31"/>
      <c r="H26" s="31"/>
      <c r="I26" s="31"/>
    </row>
    <row r="27" spans="1:9" ht="18">
      <c r="A27" s="17">
        <v>26</v>
      </c>
      <c r="B27" s="23"/>
      <c r="C27" s="93"/>
      <c r="D27" s="35"/>
      <c r="E27" s="35"/>
      <c r="F27" s="35"/>
      <c r="G27" s="31"/>
      <c r="H27" s="31"/>
      <c r="I27" s="31"/>
    </row>
    <row r="28" spans="1:9" ht="18">
      <c r="A28" s="17">
        <v>27</v>
      </c>
      <c r="B28" s="23"/>
      <c r="C28" s="93"/>
      <c r="D28" s="35"/>
      <c r="E28" s="35"/>
      <c r="F28" s="35"/>
      <c r="G28" s="31"/>
      <c r="H28" s="31"/>
      <c r="I28" s="31"/>
    </row>
    <row r="29" spans="1:9" ht="18">
      <c r="A29" s="17">
        <v>28</v>
      </c>
      <c r="B29" s="23"/>
      <c r="C29" s="93"/>
      <c r="D29" s="35"/>
      <c r="E29" s="35"/>
      <c r="F29" s="35"/>
      <c r="G29" s="31"/>
      <c r="H29" s="31"/>
      <c r="I29" s="31"/>
    </row>
    <row r="30" spans="1:9" ht="18">
      <c r="A30" s="17">
        <v>29</v>
      </c>
      <c r="B30" s="23"/>
      <c r="C30" s="93"/>
      <c r="D30" s="35"/>
      <c r="E30" s="35"/>
      <c r="F30" s="35"/>
      <c r="G30" s="31"/>
      <c r="H30" s="31"/>
      <c r="I30" s="31"/>
    </row>
    <row r="31" spans="1:9" ht="18">
      <c r="A31" s="17">
        <v>30</v>
      </c>
      <c r="B31" s="23"/>
      <c r="C31" s="93"/>
      <c r="D31" s="35"/>
      <c r="E31" s="35"/>
      <c r="F31" s="35"/>
      <c r="G31" s="31"/>
      <c r="H31" s="31"/>
      <c r="I31" s="31"/>
    </row>
    <row r="32" spans="1:9" ht="18">
      <c r="A32" s="17">
        <v>31</v>
      </c>
      <c r="B32" s="23"/>
      <c r="C32" s="93"/>
      <c r="D32" s="35"/>
      <c r="E32" s="35"/>
      <c r="F32" s="35"/>
      <c r="G32" s="31"/>
      <c r="H32" s="31"/>
      <c r="I32" s="31"/>
    </row>
    <row r="33" spans="1:9" ht="18">
      <c r="A33" s="17">
        <v>32</v>
      </c>
      <c r="B33" s="23"/>
      <c r="C33" s="93"/>
      <c r="D33" s="35"/>
      <c r="E33" s="35"/>
      <c r="F33" s="35"/>
      <c r="G33" s="31"/>
      <c r="H33" s="31"/>
      <c r="I33" s="31"/>
    </row>
    <row r="34" spans="1:9" ht="18">
      <c r="A34" s="17">
        <v>33</v>
      </c>
      <c r="B34" s="23"/>
      <c r="C34" s="93"/>
      <c r="D34" s="35"/>
      <c r="E34" s="35"/>
      <c r="F34" s="35"/>
      <c r="G34" s="31"/>
      <c r="H34" s="31"/>
      <c r="I34" s="31"/>
    </row>
    <row r="35" spans="1:9" ht="18">
      <c r="A35" s="17">
        <v>34</v>
      </c>
      <c r="B35" s="23"/>
      <c r="C35" s="93"/>
      <c r="D35" s="35"/>
      <c r="E35" s="35"/>
      <c r="F35" s="35"/>
      <c r="G35" s="31"/>
      <c r="H35" s="31"/>
      <c r="I35" s="31"/>
    </row>
    <row r="36" spans="1:9" ht="18">
      <c r="A36" s="17">
        <v>35</v>
      </c>
      <c r="B36" s="23"/>
      <c r="C36" s="93"/>
      <c r="D36" s="35"/>
      <c r="E36" s="35"/>
      <c r="F36" s="35"/>
      <c r="G36" s="31"/>
      <c r="H36" s="31"/>
      <c r="I36" s="31"/>
    </row>
    <row r="37" spans="1:9" ht="18">
      <c r="A37" s="17">
        <v>36</v>
      </c>
      <c r="B37" s="23"/>
      <c r="C37" s="93"/>
      <c r="D37" s="35"/>
      <c r="E37" s="35"/>
      <c r="F37" s="35"/>
      <c r="G37" s="31"/>
      <c r="H37" s="31"/>
      <c r="I37" s="31"/>
    </row>
    <row r="38" spans="1:9" ht="18">
      <c r="A38" s="17">
        <v>37</v>
      </c>
      <c r="B38" s="23"/>
      <c r="C38" s="93"/>
      <c r="D38" s="35"/>
      <c r="E38" s="35"/>
      <c r="F38" s="35"/>
      <c r="G38" s="31"/>
      <c r="H38" s="31"/>
      <c r="I38" s="31"/>
    </row>
    <row r="39" spans="1:9" ht="18">
      <c r="A39" s="17">
        <v>38</v>
      </c>
      <c r="B39" s="23"/>
      <c r="C39" s="93"/>
      <c r="D39" s="35"/>
      <c r="E39" s="35"/>
      <c r="F39" s="35"/>
      <c r="G39" s="31"/>
      <c r="H39" s="31"/>
      <c r="I39" s="31"/>
    </row>
    <row r="40" spans="1:9" ht="18">
      <c r="A40" s="17">
        <v>39</v>
      </c>
      <c r="B40" s="23"/>
      <c r="C40" s="93"/>
      <c r="D40" s="35"/>
      <c r="E40" s="35"/>
      <c r="F40" s="35"/>
      <c r="G40" s="31"/>
      <c r="H40" s="31"/>
      <c r="I40" s="31"/>
    </row>
    <row r="41" spans="1:9" ht="18">
      <c r="A41" s="17">
        <v>40</v>
      </c>
      <c r="B41" s="23"/>
      <c r="C41" s="93"/>
      <c r="D41" s="35"/>
      <c r="E41" s="35"/>
      <c r="F41" s="35"/>
      <c r="G41" s="31"/>
      <c r="H41" s="31"/>
      <c r="I41" s="31"/>
    </row>
    <row r="42" spans="1:9" ht="18">
      <c r="A42" s="17">
        <v>41</v>
      </c>
      <c r="B42" s="23"/>
      <c r="C42" s="93"/>
      <c r="D42" s="35"/>
      <c r="E42" s="35"/>
      <c r="F42" s="35"/>
      <c r="G42" s="31"/>
      <c r="H42" s="31"/>
      <c r="I42" s="31"/>
    </row>
    <row r="43" spans="1:9" ht="18">
      <c r="A43" s="17">
        <v>42</v>
      </c>
      <c r="B43" s="23"/>
      <c r="C43" s="93"/>
      <c r="D43" s="35"/>
      <c r="E43" s="35"/>
      <c r="F43" s="35"/>
      <c r="G43" s="31"/>
      <c r="H43" s="31"/>
      <c r="I43" s="31"/>
    </row>
    <row r="44" spans="1:9" ht="18">
      <c r="A44" s="17">
        <v>43</v>
      </c>
      <c r="B44" s="23"/>
      <c r="C44" s="93"/>
      <c r="D44" s="35"/>
      <c r="E44" s="35"/>
      <c r="F44" s="35"/>
      <c r="G44" s="31"/>
      <c r="H44" s="31"/>
      <c r="I44" s="31"/>
    </row>
    <row r="45" spans="1:9" ht="18">
      <c r="A45" s="17">
        <v>44</v>
      </c>
      <c r="B45" s="23"/>
      <c r="C45" s="93"/>
      <c r="D45" s="35"/>
      <c r="E45" s="35"/>
      <c r="F45" s="35"/>
      <c r="G45" s="31"/>
      <c r="H45" s="31"/>
      <c r="I45" s="31"/>
    </row>
    <row r="46" spans="1:9" ht="18">
      <c r="A46" s="17">
        <v>45</v>
      </c>
      <c r="B46" s="23"/>
      <c r="C46" s="93"/>
      <c r="D46" s="35"/>
      <c r="E46" s="35"/>
      <c r="F46" s="35"/>
      <c r="G46" s="31"/>
      <c r="H46" s="31"/>
      <c r="I46" s="31"/>
    </row>
    <row r="47" spans="1:9" ht="18">
      <c r="A47" s="17">
        <v>46</v>
      </c>
      <c r="B47" s="23"/>
      <c r="C47" s="93"/>
      <c r="D47" s="35"/>
      <c r="E47" s="35"/>
      <c r="F47" s="35"/>
      <c r="G47" s="31"/>
      <c r="H47" s="31"/>
      <c r="I47" s="31"/>
    </row>
    <row r="48" spans="1:9" ht="18">
      <c r="A48" s="17">
        <v>47</v>
      </c>
      <c r="B48" s="23"/>
      <c r="C48" s="93"/>
      <c r="D48" s="35"/>
      <c r="E48" s="35"/>
      <c r="F48" s="35"/>
      <c r="G48" s="31"/>
      <c r="H48" s="31"/>
      <c r="I48" s="31"/>
    </row>
    <row r="49" spans="1:9" ht="18">
      <c r="A49" s="17">
        <v>48</v>
      </c>
      <c r="B49" s="23"/>
      <c r="C49" s="93"/>
      <c r="D49" s="35"/>
      <c r="E49" s="35"/>
      <c r="F49" s="35"/>
      <c r="G49" s="31"/>
      <c r="H49" s="31"/>
      <c r="I49" s="31"/>
    </row>
    <row r="50" spans="1:9" ht="18">
      <c r="A50" s="17">
        <v>49</v>
      </c>
      <c r="B50" s="23"/>
      <c r="C50" s="93"/>
      <c r="D50" s="35"/>
      <c r="E50" s="35"/>
      <c r="F50" s="35"/>
      <c r="G50" s="31"/>
      <c r="H50" s="31"/>
      <c r="I50" s="31"/>
    </row>
    <row r="51" spans="1:9" ht="18">
      <c r="A51" s="17">
        <v>50</v>
      </c>
      <c r="B51" s="23"/>
      <c r="C51" s="93"/>
      <c r="D51" s="35"/>
      <c r="E51" s="35"/>
      <c r="F51" s="35"/>
      <c r="G51" s="31"/>
      <c r="H51" s="31"/>
      <c r="I51" s="31"/>
    </row>
    <row r="52" spans="1:9" ht="18">
      <c r="A52" s="17">
        <v>51</v>
      </c>
      <c r="B52" s="23"/>
      <c r="C52" s="93"/>
      <c r="D52" s="35"/>
      <c r="E52" s="35"/>
      <c r="F52" s="35"/>
      <c r="G52" s="31"/>
      <c r="H52" s="31"/>
      <c r="I52" s="31"/>
    </row>
    <row r="53" spans="1:9" ht="18">
      <c r="A53" s="17">
        <v>52</v>
      </c>
      <c r="B53" s="23"/>
      <c r="C53" s="93"/>
      <c r="D53" s="35"/>
      <c r="E53" s="35"/>
      <c r="F53" s="35"/>
      <c r="G53" s="31"/>
      <c r="H53" s="31"/>
      <c r="I53" s="31"/>
    </row>
    <row r="54" spans="1:9" ht="18">
      <c r="A54" s="17">
        <v>53</v>
      </c>
      <c r="B54" s="23"/>
      <c r="C54" s="93"/>
      <c r="D54" s="35"/>
      <c r="E54" s="35"/>
      <c r="F54" s="35"/>
      <c r="G54" s="31"/>
      <c r="H54" s="31"/>
      <c r="I54" s="31"/>
    </row>
    <row r="55" spans="1:9" ht="18">
      <c r="A55" s="17">
        <v>54</v>
      </c>
      <c r="B55" s="23"/>
      <c r="C55" s="93"/>
      <c r="D55" s="35"/>
      <c r="E55" s="35"/>
      <c r="F55" s="35"/>
      <c r="G55" s="31"/>
      <c r="H55" s="31"/>
      <c r="I55" s="31"/>
    </row>
    <row r="56" spans="1:9" ht="18">
      <c r="A56" s="17">
        <v>55</v>
      </c>
      <c r="B56" s="23"/>
      <c r="C56" s="93"/>
      <c r="D56" s="35"/>
      <c r="E56" s="35"/>
      <c r="F56" s="35"/>
      <c r="G56" s="31"/>
      <c r="H56" s="31"/>
      <c r="I56" s="31"/>
    </row>
    <row r="57" spans="1:9" ht="18">
      <c r="A57" s="17">
        <v>56</v>
      </c>
      <c r="B57" s="23"/>
      <c r="C57" s="93"/>
      <c r="D57" s="35"/>
      <c r="E57" s="35"/>
      <c r="F57" s="35"/>
      <c r="G57" s="31"/>
      <c r="H57" s="31"/>
      <c r="I57" s="31"/>
    </row>
    <row r="58" spans="1:9" ht="18">
      <c r="A58" s="17">
        <v>57</v>
      </c>
      <c r="B58" s="23"/>
      <c r="C58" s="93"/>
      <c r="D58" s="35"/>
      <c r="E58" s="35"/>
      <c r="F58" s="35"/>
      <c r="G58" s="31"/>
      <c r="H58" s="31"/>
      <c r="I58" s="31"/>
    </row>
    <row r="59" spans="1:9" ht="18">
      <c r="A59" s="17">
        <v>58</v>
      </c>
      <c r="B59" s="23"/>
      <c r="C59" s="93"/>
      <c r="D59" s="35"/>
      <c r="E59" s="35"/>
      <c r="F59" s="35"/>
      <c r="G59" s="31"/>
      <c r="H59" s="31"/>
      <c r="I59" s="31"/>
    </row>
    <row r="60" spans="1:9" ht="18">
      <c r="A60" s="17">
        <v>59</v>
      </c>
      <c r="B60" s="23"/>
      <c r="C60" s="93"/>
      <c r="D60" s="35"/>
      <c r="E60" s="35"/>
      <c r="F60" s="35"/>
      <c r="G60" s="31"/>
      <c r="H60" s="31"/>
      <c r="I60" s="31"/>
    </row>
    <row r="61" spans="1:9" ht="18">
      <c r="A61" s="17">
        <v>60</v>
      </c>
      <c r="B61" s="23"/>
      <c r="C61" s="93"/>
      <c r="D61" s="35"/>
      <c r="E61" s="35"/>
      <c r="F61" s="35"/>
      <c r="G61" s="31"/>
      <c r="H61" s="31"/>
      <c r="I61" s="31"/>
    </row>
    <row r="62" spans="1:9" ht="18">
      <c r="A62" s="17">
        <v>61</v>
      </c>
      <c r="B62" s="23"/>
      <c r="C62" s="93"/>
      <c r="D62" s="35"/>
      <c r="E62" s="35"/>
      <c r="F62" s="35"/>
      <c r="G62" s="31"/>
      <c r="H62" s="31"/>
      <c r="I62" s="31"/>
    </row>
    <row r="63" spans="1:9" ht="18">
      <c r="A63" s="17">
        <v>62</v>
      </c>
      <c r="B63" s="23"/>
      <c r="C63" s="93"/>
      <c r="D63" s="35"/>
      <c r="E63" s="35"/>
      <c r="F63" s="35"/>
      <c r="G63" s="31"/>
      <c r="H63" s="31"/>
      <c r="I63" s="31"/>
    </row>
    <row r="64" spans="1:9" ht="18">
      <c r="A64" s="17">
        <v>63</v>
      </c>
      <c r="B64" s="23"/>
      <c r="C64" s="93"/>
      <c r="D64" s="35"/>
      <c r="E64" s="35"/>
      <c r="F64" s="35"/>
      <c r="G64" s="31"/>
      <c r="H64" s="31"/>
      <c r="I64" s="31"/>
    </row>
    <row r="65" spans="1:9" ht="18">
      <c r="A65" s="17">
        <v>64</v>
      </c>
      <c r="B65" s="23"/>
      <c r="C65" s="93"/>
      <c r="D65" s="35"/>
      <c r="E65" s="35"/>
      <c r="F65" s="35"/>
      <c r="G65" s="31"/>
      <c r="H65" s="31"/>
      <c r="I65" s="31"/>
    </row>
    <row r="66" spans="1:9" ht="18">
      <c r="A66" s="17">
        <v>65</v>
      </c>
      <c r="B66" s="23"/>
      <c r="C66" s="93"/>
      <c r="D66" s="35"/>
      <c r="E66" s="35"/>
      <c r="F66" s="35"/>
      <c r="G66" s="31"/>
      <c r="H66" s="31"/>
      <c r="I66" s="31"/>
    </row>
    <row r="67" spans="1:9" ht="18">
      <c r="A67" s="17">
        <v>66</v>
      </c>
      <c r="B67" s="23"/>
      <c r="C67" s="93"/>
      <c r="D67" s="35"/>
      <c r="E67" s="35"/>
      <c r="F67" s="35"/>
      <c r="G67" s="31"/>
      <c r="H67" s="31"/>
      <c r="I67" s="31"/>
    </row>
    <row r="68" spans="1:9" ht="18">
      <c r="A68" s="17">
        <v>67</v>
      </c>
      <c r="B68" s="23"/>
      <c r="C68" s="93"/>
      <c r="D68" s="35"/>
      <c r="E68" s="35"/>
      <c r="F68" s="35"/>
      <c r="G68" s="31"/>
      <c r="H68" s="31"/>
      <c r="I68" s="31"/>
    </row>
    <row r="69" spans="1:9" ht="18">
      <c r="A69" s="17">
        <v>68</v>
      </c>
      <c r="B69" s="23"/>
      <c r="C69" s="93"/>
      <c r="D69" s="35"/>
      <c r="E69" s="35"/>
      <c r="F69" s="35"/>
      <c r="G69" s="31"/>
      <c r="H69" s="31"/>
      <c r="I69" s="31"/>
    </row>
    <row r="70" spans="1:9" ht="18">
      <c r="A70" s="17">
        <v>69</v>
      </c>
      <c r="B70" s="23"/>
      <c r="C70" s="93"/>
      <c r="D70" s="35"/>
      <c r="E70" s="35"/>
      <c r="F70" s="35"/>
      <c r="G70" s="31"/>
      <c r="H70" s="31"/>
      <c r="I70" s="31"/>
    </row>
    <row r="71" spans="1:9" ht="18">
      <c r="A71" s="17">
        <v>70</v>
      </c>
      <c r="B71" s="23"/>
      <c r="C71" s="93"/>
      <c r="D71" s="35"/>
      <c r="E71" s="35"/>
      <c r="F71" s="35"/>
      <c r="G71" s="31"/>
      <c r="H71" s="31"/>
      <c r="I71" s="31"/>
    </row>
    <row r="72" spans="1:9" ht="18">
      <c r="A72" s="17">
        <v>71</v>
      </c>
      <c r="B72" s="23"/>
      <c r="C72" s="93"/>
      <c r="D72" s="35"/>
      <c r="E72" s="35"/>
      <c r="F72" s="35"/>
      <c r="G72" s="31"/>
      <c r="H72" s="31"/>
      <c r="I72" s="31"/>
    </row>
    <row r="73" spans="1:9" ht="18">
      <c r="A73" s="17">
        <v>72</v>
      </c>
      <c r="B73" s="23"/>
      <c r="C73" s="93"/>
      <c r="D73" s="35"/>
      <c r="E73" s="35"/>
      <c r="F73" s="35"/>
      <c r="G73" s="31"/>
      <c r="H73" s="31"/>
      <c r="I73" s="31"/>
    </row>
    <row r="74" spans="1:9" ht="18">
      <c r="A74" s="17">
        <v>73</v>
      </c>
      <c r="B74" s="23"/>
      <c r="C74" s="93"/>
      <c r="D74" s="35"/>
      <c r="E74" s="35"/>
      <c r="F74" s="35"/>
      <c r="G74" s="31"/>
      <c r="H74" s="31"/>
      <c r="I74" s="31"/>
    </row>
    <row r="75" spans="1:9" ht="18">
      <c r="A75" s="17">
        <v>74</v>
      </c>
      <c r="B75" s="23"/>
      <c r="C75" s="93"/>
      <c r="D75" s="35"/>
      <c r="E75" s="35"/>
      <c r="F75" s="35"/>
      <c r="G75" s="31"/>
      <c r="H75" s="31"/>
      <c r="I75" s="31"/>
    </row>
    <row r="76" spans="1:9" ht="18">
      <c r="A76" s="17">
        <v>75</v>
      </c>
      <c r="B76" s="23"/>
      <c r="C76" s="93"/>
      <c r="D76" s="35"/>
      <c r="E76" s="35"/>
      <c r="F76" s="35"/>
      <c r="G76" s="31"/>
      <c r="H76" s="31"/>
      <c r="I76" s="31"/>
    </row>
    <row r="77" spans="1:9" ht="18">
      <c r="A77" s="17">
        <v>76</v>
      </c>
      <c r="B77" s="23"/>
      <c r="C77" s="93"/>
      <c r="D77" s="35"/>
      <c r="E77" s="35"/>
      <c r="F77" s="35"/>
      <c r="G77" s="31"/>
      <c r="H77" s="31"/>
      <c r="I77" s="31"/>
    </row>
    <row r="78" spans="1:9" ht="18">
      <c r="A78" s="17">
        <v>77</v>
      </c>
      <c r="B78" s="23"/>
      <c r="C78" s="93"/>
      <c r="D78" s="35"/>
      <c r="E78" s="35"/>
      <c r="F78" s="35"/>
      <c r="G78" s="31"/>
      <c r="H78" s="31"/>
      <c r="I78" s="31"/>
    </row>
    <row r="79" spans="1:9" ht="18">
      <c r="A79" s="17">
        <v>78</v>
      </c>
      <c r="B79" s="23"/>
      <c r="C79" s="93"/>
      <c r="D79" s="35"/>
      <c r="E79" s="35"/>
      <c r="F79" s="35"/>
      <c r="G79" s="31"/>
      <c r="H79" s="31"/>
      <c r="I79" s="31"/>
    </row>
    <row r="80" spans="1:9" ht="18">
      <c r="A80" s="17">
        <v>79</v>
      </c>
      <c r="B80" s="23"/>
      <c r="C80" s="93"/>
      <c r="D80" s="35"/>
      <c r="E80" s="35"/>
      <c r="F80" s="35"/>
      <c r="G80" s="31"/>
      <c r="H80" s="31"/>
      <c r="I80" s="31"/>
    </row>
    <row r="81" spans="1:9" ht="18">
      <c r="A81" s="17">
        <v>80</v>
      </c>
      <c r="B81" s="23"/>
      <c r="C81" s="93"/>
      <c r="D81" s="35"/>
      <c r="E81" s="35"/>
      <c r="F81" s="35"/>
      <c r="G81" s="31"/>
      <c r="H81" s="31"/>
      <c r="I81" s="31"/>
    </row>
    <row r="82" spans="1:9" ht="18">
      <c r="A82" s="17">
        <v>81</v>
      </c>
      <c r="B82" s="23"/>
      <c r="C82" s="93"/>
      <c r="D82" s="35"/>
      <c r="E82" s="35"/>
      <c r="F82" s="35"/>
      <c r="G82" s="31"/>
      <c r="H82" s="31"/>
      <c r="I82" s="31"/>
    </row>
    <row r="83" spans="1:9" ht="18">
      <c r="A83" s="17">
        <v>82</v>
      </c>
      <c r="B83" s="23"/>
      <c r="C83" s="93"/>
      <c r="D83" s="35"/>
      <c r="E83" s="35"/>
      <c r="F83" s="35"/>
      <c r="G83" s="31"/>
      <c r="H83" s="31"/>
      <c r="I83" s="31"/>
    </row>
    <row r="84" spans="1:9" ht="18">
      <c r="A84" s="17">
        <v>83</v>
      </c>
      <c r="B84" s="23"/>
      <c r="C84" s="93"/>
      <c r="D84" s="35"/>
      <c r="E84" s="35"/>
      <c r="F84" s="35"/>
      <c r="G84" s="31"/>
      <c r="H84" s="31"/>
      <c r="I84" s="31"/>
    </row>
    <row r="85" spans="1:9" ht="18">
      <c r="A85" s="17">
        <v>84</v>
      </c>
      <c r="B85" s="23"/>
      <c r="C85" s="93"/>
      <c r="D85" s="35"/>
      <c r="E85" s="35"/>
      <c r="F85" s="35"/>
      <c r="G85" s="31"/>
      <c r="H85" s="31"/>
      <c r="I85" s="31"/>
    </row>
    <row r="86" spans="1:9" ht="18">
      <c r="A86" s="17">
        <v>85</v>
      </c>
      <c r="B86" s="23"/>
      <c r="C86" s="93"/>
      <c r="D86" s="35"/>
      <c r="E86" s="35"/>
      <c r="F86" s="35"/>
      <c r="G86" s="31"/>
      <c r="H86" s="31"/>
      <c r="I86" s="31"/>
    </row>
    <row r="87" spans="1:9" ht="18">
      <c r="A87" s="17">
        <v>86</v>
      </c>
      <c r="B87" s="23"/>
      <c r="C87" s="93"/>
      <c r="D87" s="35"/>
      <c r="E87" s="35"/>
      <c r="F87" s="35"/>
      <c r="G87" s="31"/>
      <c r="H87" s="31"/>
      <c r="I87" s="31"/>
    </row>
    <row r="88" spans="1:9" ht="18">
      <c r="A88" s="17">
        <v>87</v>
      </c>
      <c r="B88" s="23"/>
      <c r="C88" s="93"/>
      <c r="D88" s="35"/>
      <c r="E88" s="35"/>
      <c r="F88" s="35"/>
      <c r="G88" s="31"/>
      <c r="H88" s="31"/>
      <c r="I88" s="31"/>
    </row>
    <row r="89" spans="1:9" ht="18">
      <c r="A89" s="17">
        <v>88</v>
      </c>
      <c r="B89" s="23"/>
      <c r="C89" s="93"/>
      <c r="D89" s="35"/>
      <c r="E89" s="35"/>
      <c r="F89" s="35"/>
      <c r="G89" s="31"/>
      <c r="H89" s="31"/>
      <c r="I89" s="31"/>
    </row>
    <row r="90" spans="1:9" ht="18">
      <c r="A90" s="17">
        <v>89</v>
      </c>
      <c r="B90" s="23"/>
      <c r="C90" s="93"/>
      <c r="D90" s="35"/>
      <c r="E90" s="35"/>
      <c r="F90" s="35"/>
      <c r="G90" s="31"/>
      <c r="H90" s="31"/>
      <c r="I90" s="31"/>
    </row>
    <row r="91" spans="1:9" ht="18">
      <c r="A91" s="17">
        <v>90</v>
      </c>
      <c r="B91" s="23"/>
      <c r="C91" s="93"/>
      <c r="D91" s="35"/>
      <c r="E91" s="35"/>
      <c r="F91" s="35"/>
      <c r="G91" s="31"/>
      <c r="H91" s="31"/>
      <c r="I91" s="31"/>
    </row>
    <row r="92" spans="1:9" ht="18">
      <c r="A92" s="17">
        <v>91</v>
      </c>
      <c r="B92" s="23"/>
      <c r="C92" s="93"/>
      <c r="D92" s="35"/>
      <c r="E92" s="35"/>
      <c r="F92" s="35"/>
      <c r="G92" s="31"/>
      <c r="H92" s="31"/>
      <c r="I92" s="31"/>
    </row>
    <row r="93" spans="1:9" ht="18">
      <c r="A93" s="17">
        <v>92</v>
      </c>
      <c r="B93" s="23"/>
      <c r="C93" s="93"/>
      <c r="D93" s="35"/>
      <c r="E93" s="35"/>
      <c r="F93" s="35"/>
      <c r="G93" s="31"/>
      <c r="H93" s="31"/>
      <c r="I93" s="31"/>
    </row>
    <row r="94" spans="1:9" ht="18">
      <c r="A94" s="17">
        <v>93</v>
      </c>
      <c r="B94" s="23"/>
      <c r="C94" s="93"/>
      <c r="D94" s="35"/>
      <c r="E94" s="35"/>
      <c r="F94" s="35"/>
      <c r="G94" s="31"/>
      <c r="H94" s="31"/>
      <c r="I94" s="31"/>
    </row>
    <row r="95" spans="1:9" ht="18">
      <c r="A95" s="17">
        <v>94</v>
      </c>
      <c r="B95" s="23"/>
      <c r="C95" s="93"/>
      <c r="D95" s="35"/>
      <c r="E95" s="35"/>
      <c r="F95" s="35"/>
      <c r="G95" s="31"/>
      <c r="H95" s="31"/>
      <c r="I95" s="31"/>
    </row>
    <row r="96" spans="1:9" ht="18">
      <c r="A96" s="17">
        <v>95</v>
      </c>
      <c r="B96" s="23"/>
      <c r="C96" s="93"/>
      <c r="D96" s="35"/>
      <c r="E96" s="35"/>
      <c r="F96" s="35"/>
      <c r="G96" s="31"/>
      <c r="H96" s="31"/>
      <c r="I96" s="31"/>
    </row>
    <row r="97" spans="1:9" ht="18">
      <c r="A97" s="17">
        <v>96</v>
      </c>
      <c r="B97" s="23"/>
      <c r="C97" s="93"/>
      <c r="D97" s="35"/>
      <c r="E97" s="35"/>
      <c r="F97" s="35"/>
      <c r="G97" s="31"/>
      <c r="H97" s="31"/>
      <c r="I97" s="31"/>
    </row>
    <row r="98" spans="1:9" ht="18">
      <c r="A98" s="17">
        <v>97</v>
      </c>
      <c r="B98" s="23"/>
      <c r="C98" s="93"/>
      <c r="D98" s="35"/>
      <c r="E98" s="35"/>
      <c r="F98" s="35"/>
      <c r="G98" s="31"/>
      <c r="H98" s="31"/>
      <c r="I98" s="31"/>
    </row>
    <row r="99" spans="1:9" ht="18">
      <c r="A99" s="17">
        <v>98</v>
      </c>
      <c r="B99" s="23"/>
      <c r="C99" s="93"/>
      <c r="D99" s="35"/>
      <c r="E99" s="35"/>
      <c r="F99" s="35"/>
      <c r="G99" s="31"/>
      <c r="H99" s="31"/>
      <c r="I99" s="31"/>
    </row>
    <row r="100" spans="1:9" ht="18.75" thickBot="1">
      <c r="A100" s="18">
        <v>99</v>
      </c>
      <c r="B100" s="24"/>
      <c r="C100" s="94"/>
      <c r="D100" s="37"/>
      <c r="E100" s="37"/>
      <c r="F100" s="37"/>
      <c r="G100" s="33"/>
      <c r="H100" s="33"/>
      <c r="I100" s="33"/>
    </row>
  </sheetData>
  <sheetProtection sheet="1" objects="1" scenarios="1" sort="0"/>
  <protectedRanges>
    <protectedRange sqref="D1:F1 B2:I100" name="Диапазон1"/>
  </protectedRanges>
  <printOptions/>
  <pageMargins left="0.1968503937007874" right="0.1968503937007874" top="0.1968503937007874" bottom="0.3937007874015748" header="0.1968503937007874" footer="0.3937007874015748"/>
  <pageSetup fitToHeight="1" fitToWidth="1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90" zoomScaleNormal="90" zoomScalePageLayoutView="0" workbookViewId="0" topLeftCell="G1">
      <selection activeCell="H9" sqref="H9"/>
    </sheetView>
  </sheetViews>
  <sheetFormatPr defaultColWidth="9.00390625" defaultRowHeight="12.75"/>
  <cols>
    <col min="1" max="6" width="25.75390625" style="1" hidden="1" customWidth="1"/>
    <col min="7" max="7" width="6.00390625" style="1" customWidth="1"/>
    <col min="8" max="8" width="68.625" style="1" customWidth="1"/>
    <col min="9" max="9" width="11.375" style="1" customWidth="1"/>
    <col min="10" max="10" width="17.125" style="6" customWidth="1"/>
    <col min="11" max="11" width="11.375" style="7" customWidth="1"/>
    <col min="12" max="13" width="17.125" style="6" customWidth="1"/>
    <col min="14" max="14" width="22.875" style="1" customWidth="1"/>
    <col min="15" max="16384" width="9.125" style="1" customWidth="1"/>
  </cols>
  <sheetData>
    <row r="1" spans="1:14" ht="18" customHeight="1" thickBot="1">
      <c r="A1" s="54">
        <f>CONCATENATE(IF(B6=0,"",E2),IF(B7=0,"",IF(C8&lt;20,IF(C8&lt;16,IF(C8&lt;10,E3,D7),C3),E3)),IF(B8=0,"",IF(NOT(B7=1),E4,"")),C4)</f>
      </c>
      <c r="B1" s="54" t="str">
        <f>CONCATENATE(IF(B15=0,"",E14),IF(B16=0,"",IF(C17&lt;20,IF(C17&lt;16,IF(C17&lt;10,E15,D10),D13),E15)),IF(B17=0,"",IF(NOT(B16=1),E16,"")),D14)</f>
        <v>двести семьдесят рублей </v>
      </c>
      <c r="C1" s="54"/>
      <c r="D1" s="54"/>
      <c r="E1" s="54" t="s">
        <v>23</v>
      </c>
      <c r="G1" s="2"/>
      <c r="H1" s="3" t="s">
        <v>14</v>
      </c>
      <c r="I1" s="96">
        <f>NOW()</f>
        <v>41596.53756423611</v>
      </c>
      <c r="J1" s="96"/>
      <c r="K1" s="13"/>
      <c r="L1" s="25"/>
      <c r="M1" s="26" t="s">
        <v>12</v>
      </c>
      <c r="N1" s="5">
        <f>NOW()</f>
        <v>41596.53756423611</v>
      </c>
    </row>
    <row r="2" spans="1:14" ht="18" customHeight="1" thickBot="1">
      <c r="A2" s="54">
        <f>CONCATENATE(IF(B9=0,"",E6),IF(B10=0,"",IF(C11&lt;20,IF(C11&lt;16,IF(C11&lt;10,E7,D8),D3),E7)),IF(B11=0,"",IF(NOT(B10=1),E8,"")),D4)</f>
      </c>
      <c r="B2" s="55" t="str">
        <f>E21&amp;D2</f>
        <v>ноль копеек</v>
      </c>
      <c r="C2" s="54"/>
      <c r="D2" s="54" t="str">
        <f>IF(D12=0,"копеек",IF(AND(A17&gt;=10,A17&lt;=19),"копеек",IF(D12=1,"копейка",IF(D12&lt;=4,"копейки","копеек"))))</f>
        <v>копеек</v>
      </c>
      <c r="E2" s="55" t="str">
        <f>IF(B6=1,D18,IF(B6=2,D19,IF(B6=3,D20,IF(B6=4,D21,IF(B6=5,D22,IF(B6=6,D23,IF(B6=7,D24,IF(B6=8,D25,D26))))))))</f>
        <v>девятьсот </v>
      </c>
      <c r="G2" s="27" t="s">
        <v>11</v>
      </c>
      <c r="H2" s="27" t="s">
        <v>15</v>
      </c>
      <c r="I2" s="27" t="s">
        <v>0</v>
      </c>
      <c r="J2" s="27" t="s">
        <v>1</v>
      </c>
      <c r="K2" s="27" t="s">
        <v>13</v>
      </c>
      <c r="L2" s="27" t="s">
        <v>22</v>
      </c>
      <c r="M2" s="27" t="s">
        <v>17</v>
      </c>
      <c r="N2" s="27" t="s">
        <v>2</v>
      </c>
    </row>
    <row r="3" spans="1:14" ht="18" customHeight="1">
      <c r="A3" s="54" t="str">
        <f>CONCATENATE(IF(B12=0,"",E10),IF(B13=0,"",IF(C14&lt;20,IF(C14&lt;16,IF(C14&lt;10,E11,D9),C5),E11)),IF(B14=0,"",IF(NOT(B13=1),E12,"")),D5)</f>
        <v>девятнадцать тысяч </v>
      </c>
      <c r="B3" s="56">
        <f>CODE(A28)</f>
        <v>228</v>
      </c>
      <c r="C3" s="55">
        <f>IF(AND(C8&gt;15,C8&lt;20),IF(C8=16,B26,IF(C8=17,C18,IF(C8=18,C19,IF(C8=19,C20,)))),"")</f>
      </c>
      <c r="D3" s="55">
        <f>IF(AND(C11&gt;15,C11&lt;20),IF(C11=16,B26,IF(C11=17,C18,IF(C11=18,C19,IF(C11=19,C20,)))),"")</f>
      </c>
      <c r="E3" s="65">
        <f>IF(OR(C7=0,B7=1),"",IF(B7=2,C21,IF(B7=3,C22,IF(B7=4,C23,IF(B7=5,C24,IF(B7=6,C25,IF(B7=7,C26,IF(B7=8,D16,D17))))))))</f>
      </c>
      <c r="G3" s="8">
        <f>IF(H3=0,"",1)</f>
        <v>1</v>
      </c>
      <c r="H3" s="8" t="s">
        <v>5</v>
      </c>
      <c r="I3" s="8">
        <v>6</v>
      </c>
      <c r="J3" s="9">
        <f ca="1">IF(H3=0,"",IF(I3=0,"",I3*VLOOKUP(H3,OFFSET(ТоварСкидки!B2:I100,-ТоварСкидки!A1,0),2,FALSE)))</f>
        <v>750</v>
      </c>
      <c r="K3" s="14">
        <f ca="1">IF(H3=0,"",IF(I3=0,"",IF(OFFSET(ТоварСкидки!N5,-ТоварСкидки!A1,0)=0,0,VLOOKUP(H3,OFFSET(ТоварСкидки!B2:I100,-ТоварСкидки!A1,0),OFFSET(ТоварСкидки!N5,-ТоварСкидки!A1,0),FALSE))))</f>
        <v>0</v>
      </c>
      <c r="L3" s="9">
        <f ca="1">IF(H3=0,"",IF(I3=0,"",IF(OFFSET(ТоварСкидки!N5,-ТоварСкидки!A1,0)=0,0,I3*VLOOKUP(H3,OFFSET(ТоварСкидки!B2:I100,-ТоварСкидки!A1,0),OFFSET(ТоварСкидки!N9,-ТоварСкидки!A1,0),FALSE))))</f>
        <v>0</v>
      </c>
      <c r="M3" s="10">
        <f>IF(H3=0,"",IF(I3=0,"",J3*K3+L3))</f>
        <v>0</v>
      </c>
      <c r="N3" s="10">
        <f>IF(H3=0,"",IF(I3=0,"",J3-M3))</f>
        <v>750</v>
      </c>
    </row>
    <row r="4" spans="1:14" ht="18" customHeight="1">
      <c r="A4" s="57">
        <f aca="true" t="shared" si="0" ref="A4:A15">TRUNC(A5/10)</f>
        <v>0</v>
      </c>
      <c r="B4" s="56" t="str">
        <f>CHAR(B3)</f>
        <v>д</v>
      </c>
      <c r="C4" s="55">
        <f>IF(E5=0,"",IF(B7=1,"миллиардов ",IF(B8=1,"милиард ",IF(OR(B8=2,B8=3,B8=4),"миллиарда ","милиардов "))))</f>
      </c>
      <c r="D4" s="55">
        <f>IF(E9=0,"",IF(B10=1,"миллионов ",IF(B11=1,"миллион ",IF(OR(B11=2,B11=3,B11=4),"миллиона ","миллионов "))))</f>
      </c>
      <c r="E4" s="65" t="str">
        <f>IF(B8=1,A18,IF(B8=2,A19,IF(B8=3,A20,IF(B8=4,A21,IF(B8=5,A22,IF(B8=6,A23,IF(B8=7,A24,IF(B8=8,A25,A26))))))))</f>
        <v>девять </v>
      </c>
      <c r="G4" s="8">
        <f>IF(H4=0,"",MAX(G3)+1)</f>
        <v>2</v>
      </c>
      <c r="H4" s="4" t="s">
        <v>6</v>
      </c>
      <c r="I4" s="8">
        <v>12</v>
      </c>
      <c r="J4" s="9">
        <f ca="1">IF(H4=0,"",IF(I4=0,"",I4*VLOOKUP(H4,OFFSET(ТоварСкидки!B3:I101,-ТоварСкидки!A2,0),2,FALSE)))</f>
        <v>1020</v>
      </c>
      <c r="K4" s="14">
        <f ca="1">IF(H4=0,"",IF(I4=0,"",IF(OFFSET(ТоварСкидки!N6,-ТоварСкидки!A2,0)=0,0,VLOOKUP(H4,OFFSET(ТоварСкидки!B3:I101,-ТоварСкидки!A2,0),OFFSET(ТоварСкидки!N6,-ТоварСкидки!A2,0),FALSE))))</f>
        <v>0</v>
      </c>
      <c r="L4" s="9">
        <f ca="1">IF(H4=0,"",IF(I4=0,"",IF(OFFSET(ТоварСкидки!N6,-ТоварСкидки!A2,0)=0,0,I4*VLOOKUP(H4,OFFSET(ТоварСкидки!B3:I101,-ТоварСкидки!A2,0),OFFSET(ТоварСкидки!N10,-ТоварСкидки!A2,0),FALSE))))</f>
        <v>0</v>
      </c>
      <c r="M4" s="10">
        <f aca="true" t="shared" si="1" ref="M4:M22">IF(H4=0,"",IF(I4=0,"",J4*K4+L4))</f>
        <v>0</v>
      </c>
      <c r="N4" s="10">
        <f aca="true" t="shared" si="2" ref="N4:N22">IF(H4=0,"",IF(I4=0,"",J4-M4))</f>
        <v>1020</v>
      </c>
    </row>
    <row r="5" spans="1:14" ht="18" customHeight="1">
      <c r="A5" s="57">
        <f t="shared" si="0"/>
        <v>0</v>
      </c>
      <c r="B5" s="56" t="str">
        <f>PROPER(B4)</f>
        <v>Д</v>
      </c>
      <c r="C5" s="55" t="str">
        <f>IF(AND(C14&gt;15,C14&lt;20),IF(C14=16,B26,IF(C14=17,C18,IF(C14=18,C19,IF(C14=19,C20,)))),"")</f>
        <v>девятнадцать </v>
      </c>
      <c r="D5" s="55" t="str">
        <f>IF(E13=0,"",IF(B13=1,"тысяч ",IF(B14=1,"тысяча ",IF(OR(B14=2,B14=3,B14=4),"тысячи ","тысяч "))))</f>
        <v>тысяч </v>
      </c>
      <c r="E5" s="55">
        <f>B8+B7*10+B6*100</f>
        <v>0</v>
      </c>
      <c r="G5" s="8">
        <f>IF(H5=0,"",MAX(G3:G4)+1)</f>
        <v>3</v>
      </c>
      <c r="H5" s="91" t="s">
        <v>18</v>
      </c>
      <c r="I5" s="95">
        <v>6</v>
      </c>
      <c r="J5" s="9">
        <f ca="1">IF(H5=0,"",IF(I5=0,"",I5*VLOOKUP(H5,OFFSET(ТоварСкидки!B4:I102,-ТоварСкидки!A3,0),2,FALSE)))</f>
        <v>750</v>
      </c>
      <c r="K5" s="14">
        <f ca="1">IF(H5=0,"",IF(I5=0,"",IF(OFFSET(ТоварСкидки!N7,-ТоварСкидки!A3,0)=0,0,VLOOKUP(H5,OFFSET(ТоварСкидки!B4:I102,-ТоварСкидки!A3,0),OFFSET(ТоварСкидки!N7,-ТоварСкидки!A3,0),FALSE))))</f>
        <v>0</v>
      </c>
      <c r="L5" s="9">
        <f ca="1">IF(H5=0,"",IF(I5=0,"",IF(OFFSET(ТоварСкидки!N7,-ТоварСкидки!A3,0)=0,0,I5*VLOOKUP(H5,OFFSET(ТоварСкидки!B4:I102,-ТоварСкидки!A3,0),OFFSET(ТоварСкидки!N11,-ТоварСкидки!A3,0),FALSE))))</f>
        <v>0</v>
      </c>
      <c r="M5" s="10">
        <f t="shared" si="1"/>
        <v>0</v>
      </c>
      <c r="N5" s="10">
        <f t="shared" si="2"/>
        <v>750</v>
      </c>
    </row>
    <row r="6" spans="1:14" ht="18" customHeight="1">
      <c r="A6" s="57">
        <f t="shared" si="0"/>
        <v>0</v>
      </c>
      <c r="B6" s="58">
        <f aca="true" t="shared" si="3" ref="B6:B17">TRUNC(RIGHT(A5))</f>
        <v>0</v>
      </c>
      <c r="C6" s="55">
        <f>B6</f>
        <v>0</v>
      </c>
      <c r="D6" s="59">
        <f>TRUNC(E24)</f>
        <v>19270</v>
      </c>
      <c r="E6" s="55" t="str">
        <f>IF(B9=1,D18,IF(B9=2,D19,IF(B9=3,D20,IF(B9=4,D21,IF(B9=5,D22,IF(B9=6,D23,IF(B9=7,D24,IF(B9=8,D25,D26))))))))</f>
        <v>девятьсот </v>
      </c>
      <c r="G6" s="8">
        <f>IF(H6=0,"",MAX(G3:G5)+1)</f>
        <v>4</v>
      </c>
      <c r="H6" s="91" t="s">
        <v>9</v>
      </c>
      <c r="I6" s="95">
        <v>6</v>
      </c>
      <c r="J6" s="9">
        <f ca="1">IF(H6=0,"",IF(I6=0,"",I6*VLOOKUP(H6,OFFSET(ТоварСкидки!B5:I103,-ТоварСкидки!A4,0),2,FALSE)))</f>
        <v>750</v>
      </c>
      <c r="K6" s="14">
        <f ca="1">IF(H6=0,"",IF(I6=0,"",IF(OFFSET(ТоварСкидки!N8,-ТоварСкидки!A4,0)=0,0,VLOOKUP(H6,OFFSET(ТоварСкидки!B5:I103,-ТоварСкидки!A4,0),OFFSET(ТоварСкидки!N8,-ТоварСкидки!A4,0),FALSE))))</f>
        <v>0</v>
      </c>
      <c r="L6" s="9">
        <f ca="1">IF(H6=0,"",IF(I6=0,"",IF(OFFSET(ТоварСкидки!N8,-ТоварСкидки!A4,0)=0,0,I6*VLOOKUP(H6,OFFSET(ТоварСкидки!B5:I103,-ТоварСкидки!A4,0),OFFSET(ТоварСкидки!N12,-ТоварСкидки!A4,0),FALSE))))</f>
        <v>0</v>
      </c>
      <c r="M6" s="10">
        <f t="shared" si="1"/>
        <v>0</v>
      </c>
      <c r="N6" s="10">
        <f t="shared" si="2"/>
        <v>750</v>
      </c>
    </row>
    <row r="7" spans="1:14" ht="18" customHeight="1">
      <c r="A7" s="57">
        <f t="shared" si="0"/>
        <v>0</v>
      </c>
      <c r="B7" s="58">
        <f t="shared" si="3"/>
        <v>0</v>
      </c>
      <c r="C7" s="55">
        <f>IF(B7=1,"",B7)</f>
        <v>0</v>
      </c>
      <c r="D7" s="55">
        <f>IF(AND(C8&gt;9,C8&lt;16),IF(C8=10,B20,IF(C8=11,B21,IF(C8=12,B22,IF(C8=13,B23,IF(C8=14,B24,IF(C8=15,B25,)))))),"")</f>
      </c>
      <c r="E7" s="65">
        <f>IF(OR(C10=0,B10=1),"",IF(B10=2,C21,IF(B10=3,C22,IF(B10=4,C23,IF(B10=5,C24,IF(B10=6,C25,IF(B10=7,C26,IF(B10=8,D16,D17))))))))</f>
      </c>
      <c r="G7" s="8">
        <f>IF(H7=0,"",MAX(G3:G6)+1)</f>
        <v>5</v>
      </c>
      <c r="H7" s="91" t="s">
        <v>75</v>
      </c>
      <c r="I7" s="95">
        <v>30</v>
      </c>
      <c r="J7" s="9">
        <f ca="1">IF(H7=0,"",IF(I7=0,"",I7*VLOOKUP(H7,OFFSET(ТоварСкидки!B6:I104,-ТоварСкидки!A5,0),2,FALSE)))</f>
        <v>10500</v>
      </c>
      <c r="K7" s="14">
        <f ca="1">IF(H7=0,"",IF(I7=0,"",IF(OFFSET(ТоварСкидки!N9,-ТоварСкидки!A5,0)=0,0,VLOOKUP(H7,OFFSET(ТоварСкидки!B6:I104,-ТоварСкидки!A5,0),OFFSET(ТоварСкидки!N9,-ТоварСкидки!A5,0),FALSE))))</f>
        <v>0</v>
      </c>
      <c r="L7" s="9">
        <f ca="1">IF(H7=0,"",IF(I7=0,"",IF(OFFSET(ТоварСкидки!N9,-ТоварСкидки!A5,0)=0,0,I7*VLOOKUP(H7,OFFSET(ТоварСкидки!B6:I104,-ТоварСкидки!A5,0),OFFSET(ТоварСкидки!N13,-ТоварСкидки!A5,0),FALSE))))</f>
        <v>0</v>
      </c>
      <c r="M7" s="10">
        <f t="shared" si="1"/>
        <v>0</v>
      </c>
      <c r="N7" s="10">
        <f t="shared" si="2"/>
        <v>10500</v>
      </c>
    </row>
    <row r="8" spans="1:14" ht="18" customHeight="1">
      <c r="A8" s="57">
        <f t="shared" si="0"/>
        <v>0</v>
      </c>
      <c r="B8" s="58">
        <f t="shared" si="3"/>
        <v>0</v>
      </c>
      <c r="C8" s="55">
        <f>IF(B7=1,B8+10,IF(B8=0,0,B8))</f>
        <v>0</v>
      </c>
      <c r="D8" s="55">
        <f>IF(AND(C11&gt;9,C11&lt;16),IF(C11=10,B20,IF(C11=11,B21,IF(C11=12,B22,IF(C11=13,B23,IF(C11=14,B24,IF(C11=15,B25,)))))),"")</f>
      </c>
      <c r="E8" s="65" t="str">
        <f>IF(B11=1,A18,IF(B11=2,A19,IF(B11=3,A20,IF(B11=4,A21,IF(B11=5,A22,IF(B11=6,A23,IF(B11=7,A24,IF(B11=8,A25,A26))))))))</f>
        <v>девять </v>
      </c>
      <c r="G8" s="8">
        <f>IF(H8=0,"",MAX(G3:G7)+1)</f>
        <v>6</v>
      </c>
      <c r="H8" s="91" t="s">
        <v>76</v>
      </c>
      <c r="I8" s="4">
        <v>10</v>
      </c>
      <c r="J8" s="9">
        <f ca="1">IF(H8=0,"",IF(I8=0,"",I8*VLOOKUP(H8,OFFSET(ТоварСкидки!B7:I105,-ТоварСкидки!A6,0),2,FALSE)))</f>
        <v>5500</v>
      </c>
      <c r="K8" s="14">
        <f ca="1">IF(H8=0,"",IF(I8=0,"",IF(OFFSET(ТоварСкидки!N10,-ТоварСкидки!A6,0)=0,0,VLOOKUP(H8,OFFSET(ТоварСкидки!B7:I105,-ТоварСкидки!A6,0),OFFSET(ТоварСкидки!N10,-ТоварСкидки!A6,0),FALSE))))</f>
        <v>0</v>
      </c>
      <c r="L8" s="9">
        <f ca="1">IF(H8=0,"",IF(I8=0,"",IF(OFFSET(ТоварСкидки!N10,-ТоварСкидки!A6,0)=0,0,I8*VLOOKUP(H8,OFFSET(ТоварСкидки!B7:I105,-ТоварСкидки!A6,0),OFFSET(ТоварСкидки!N14,-ТоварСкидки!A6,0),FALSE))))</f>
        <v>0</v>
      </c>
      <c r="M8" s="10">
        <f t="shared" si="1"/>
        <v>0</v>
      </c>
      <c r="N8" s="10">
        <f t="shared" si="2"/>
        <v>5500</v>
      </c>
    </row>
    <row r="9" spans="1:14" ht="18" customHeight="1">
      <c r="A9" s="57">
        <f t="shared" si="0"/>
        <v>0</v>
      </c>
      <c r="B9" s="55">
        <f t="shared" si="3"/>
        <v>0</v>
      </c>
      <c r="C9" s="55">
        <f>B9</f>
        <v>0</v>
      </c>
      <c r="D9" s="55">
        <f>IF(AND(C14&gt;9,C14&lt;16),IF(C14=10,B20,IF(C14=11,B21,IF(C14=12,B22,IF(C14=13,B23,IF(C14=14,B24,IF(C14=15,B25,)))))),"")</f>
      </c>
      <c r="E9" s="55">
        <f>B11+B10*10+B9*100</f>
        <v>0</v>
      </c>
      <c r="G9" s="8">
        <f>IF(H9=0,"",MAX(G3:G8)+1)</f>
      </c>
      <c r="H9" s="4"/>
      <c r="I9" s="4"/>
      <c r="J9" s="9">
        <f ca="1">IF(H9=0,"",IF(I9=0,"",I9*VLOOKUP(H9,OFFSET(ТоварСкидки!B8:I106,-ТоварСкидки!A7,0),2,FALSE)))</f>
      </c>
      <c r="K9" s="14">
        <f ca="1">IF(H9=0,"",IF(I9=0,"",IF(OFFSET(ТоварСкидки!N11,-ТоварСкидки!A7,0)=0,0,VLOOKUP(H9,OFFSET(ТоварСкидки!B8:I106,-ТоварСкидки!A7,0),OFFSET(ТоварСкидки!N11,-ТоварСкидки!A7,0),FALSE))))</f>
      </c>
      <c r="L9" s="9">
        <f ca="1">IF(H9=0,"",IF(I9=0,"",IF(OFFSET(ТоварСкидки!N11,-ТоварСкидки!A7,0)=0,0,I9*VLOOKUP(H9,OFFSET(ТоварСкидки!B8:I106,-ТоварСкидки!A7,0),OFFSET(ТоварСкидки!N15,-ТоварСкидки!A7,0),FALSE))))</f>
      </c>
      <c r="M9" s="10">
        <f t="shared" si="1"/>
      </c>
      <c r="N9" s="10">
        <f t="shared" si="2"/>
      </c>
    </row>
    <row r="10" spans="1:14" ht="18" customHeight="1">
      <c r="A10" s="57">
        <f t="shared" si="0"/>
        <v>0</v>
      </c>
      <c r="B10" s="55">
        <f t="shared" si="3"/>
        <v>0</v>
      </c>
      <c r="C10" s="55">
        <f>IF(B10=1,"",B10)</f>
        <v>0</v>
      </c>
      <c r="D10" s="55">
        <f>IF(AND(C17&gt;9,C17&lt;16),IF(C17=10,B20,IF(C17=11,B21,IF(C17=12,B22,IF(C17=13,B23,IF(C17=14,B24,IF(C17=15,B25,)))))),"")</f>
      </c>
      <c r="E10" s="55" t="str">
        <f>IF(B12=1,D18,IF(B12=2,D19,IF(B12=3,D20,IF(B12=4,D21,IF(B12=5,D22,IF(B12=6,D23,IF(B12=7,D24,IF(B12=8,D25,D26))))))))</f>
        <v>девятьсот </v>
      </c>
      <c r="G10" s="8">
        <f>IF(H10=0,"",MAX(G3:G9)+1)</f>
      </c>
      <c r="H10" s="4"/>
      <c r="I10" s="4"/>
      <c r="J10" s="9">
        <f ca="1">IF(H10=0,"",IF(I10=0,"",I10*VLOOKUP(H10,OFFSET(ТоварСкидки!B9:I107,-ТоварСкидки!A8,0),2,FALSE)))</f>
      </c>
      <c r="K10" s="14">
        <f ca="1">IF(H10=0,"",IF(I10=0,"",IF(OFFSET(ТоварСкидки!N12,-ТоварСкидки!A8,0)=0,0,VLOOKUP(H10,OFFSET(ТоварСкидки!B9:I107,-ТоварСкидки!A8,0),OFFSET(ТоварСкидки!N12,-ТоварСкидки!A8,0),FALSE))))</f>
      </c>
      <c r="L10" s="9">
        <f ca="1">IF(H10=0,"",IF(I10=0,"",IF(OFFSET(ТоварСкидки!N12,-ТоварСкидки!A8,0)=0,0,I10*VLOOKUP(H10,OFFSET(ТоварСкидки!B9:I107,-ТоварСкидки!A8,0),OFFSET(ТоварСкидки!N16,-ТоварСкидки!A8,0),FALSE))))</f>
      </c>
      <c r="M10" s="10">
        <f t="shared" si="1"/>
      </c>
      <c r="N10" s="10">
        <f t="shared" si="2"/>
      </c>
    </row>
    <row r="11" spans="1:14" ht="18" customHeight="1">
      <c r="A11" s="57">
        <f t="shared" si="0"/>
        <v>0</v>
      </c>
      <c r="B11" s="55">
        <f t="shared" si="3"/>
        <v>0</v>
      </c>
      <c r="C11" s="55">
        <f>IF(B10=1,B11+10,IF(B11=0,0,B11))</f>
        <v>0</v>
      </c>
      <c r="D11" s="55">
        <f>TRUNC(A17/10)</f>
        <v>0</v>
      </c>
      <c r="E11" s="65">
        <f>IF(OR(C13=0,B13=1),"",IF(B13=2,C21,IF(B13=3,C22,IF(B13=4,C23,IF(B13=5,C24,IF(B13=6,C25,IF(B13=7,C26,IF(B13=8,D16,D17))))))))</f>
      </c>
      <c r="G11" s="8">
        <f>IF(H11=0,"",MAX(G3:G10)+1)</f>
      </c>
      <c r="H11" s="4"/>
      <c r="I11" s="4"/>
      <c r="J11" s="9">
        <f ca="1">IF(H11=0,"",IF(I11=0,"",I11*VLOOKUP(H11,OFFSET(ТоварСкидки!B10:I108,-ТоварСкидки!A9,0),2,FALSE)))</f>
      </c>
      <c r="K11" s="14">
        <f ca="1">IF(H11=0,"",IF(I11=0,"",IF(OFFSET(ТоварСкидки!N13,-ТоварСкидки!A9,0)=0,0,VLOOKUP(H11,OFFSET(ТоварСкидки!B10:I108,-ТоварСкидки!A9,0),OFFSET(ТоварСкидки!N13,-ТоварСкидки!A9,0),FALSE))))</f>
      </c>
      <c r="L11" s="9">
        <f ca="1">IF(H11=0,"",IF(I11=0,"",IF(OFFSET(ТоварСкидки!N13,-ТоварСкидки!A9,0)=0,0,I11*VLOOKUP(H11,OFFSET(ТоварСкидки!B10:I108,-ТоварСкидки!A9,0),OFFSET(ТоварСкидки!N17,-ТоварСкидки!A9,0),FALSE))))</f>
      </c>
      <c r="M11" s="10">
        <f t="shared" si="1"/>
      </c>
      <c r="N11" s="10">
        <f t="shared" si="2"/>
      </c>
    </row>
    <row r="12" spans="1:14" ht="18" customHeight="1">
      <c r="A12" s="57">
        <f t="shared" si="0"/>
        <v>1</v>
      </c>
      <c r="B12" s="55">
        <f t="shared" si="3"/>
        <v>0</v>
      </c>
      <c r="C12" s="55">
        <f>B12</f>
        <v>0</v>
      </c>
      <c r="D12" s="55">
        <f>TRUNC(A17-D11*10)</f>
        <v>0</v>
      </c>
      <c r="E12" s="65" t="str">
        <f>IF(B14=1,B18,IF(B14=2,B19,IF(B14=3,A20,IF(B14=4,A21,IF(B14=5,A22,IF(B14=6,A23,IF(B14=7,A24,IF(B14=8,A25,A26))))))))</f>
        <v>девять </v>
      </c>
      <c r="G12" s="8">
        <f>IF(H12=0,"",MAX(G3:G11)+1)</f>
      </c>
      <c r="H12" s="4"/>
      <c r="I12" s="4"/>
      <c r="J12" s="9">
        <f ca="1">IF(H12=0,"",IF(I12=0,"",I12*VLOOKUP(H12,OFFSET(ТоварСкидки!B11:I109,-ТоварСкидки!A10,0),2,FALSE)))</f>
      </c>
      <c r="K12" s="14">
        <f ca="1">IF(H12=0,"",IF(I12=0,"",IF(OFFSET(ТоварСкидки!N14,-ТоварСкидки!A10,0)=0,0,VLOOKUP(H12,OFFSET(ТоварСкидки!B11:I109,-ТоварСкидки!A10,0),OFFSET(ТоварСкидки!N14,-ТоварСкидки!A10,0),FALSE))))</f>
      </c>
      <c r="L12" s="9">
        <f ca="1">IF(H12=0,"",IF(I12=0,"",IF(OFFSET(ТоварСкидки!N14,-ТоварСкидки!A10,0)=0,0,I12*VLOOKUP(H12,OFFSET(ТоварСкидки!B11:I109,-ТоварСкидки!A10,0),OFFSET(ТоварСкидки!N18,-ТоварСкидки!A10,0),FALSE))))</f>
      </c>
      <c r="M12" s="10">
        <f t="shared" si="1"/>
      </c>
      <c r="N12" s="10">
        <f t="shared" si="2"/>
      </c>
    </row>
    <row r="13" spans="1:14" ht="18" customHeight="1">
      <c r="A13" s="57">
        <f t="shared" si="0"/>
        <v>19</v>
      </c>
      <c r="B13" s="55">
        <f t="shared" si="3"/>
        <v>1</v>
      </c>
      <c r="C13" s="55">
        <f>IF(B13=1,"",B13)</f>
      </c>
      <c r="D13" s="55">
        <f>IF(AND(C17&gt;15,C17&lt;20),IF(C17=16,B26,IF(C17=17,C18,IF(C17=18,C19,IF(C17=19,C20,)))),"")</f>
      </c>
      <c r="E13" s="65">
        <f>B12*100+B13*10+B14</f>
        <v>19</v>
      </c>
      <c r="G13" s="8">
        <f>IF(H13=0,"",MAX(G3:G12)+1)</f>
      </c>
      <c r="H13" s="4"/>
      <c r="I13" s="4"/>
      <c r="J13" s="9">
        <f ca="1">IF(H13=0,"",IF(I13=0,"",I13*VLOOKUP(H13,OFFSET(ТоварСкидки!B12:I110,-ТоварСкидки!A11,0),2,FALSE)))</f>
      </c>
      <c r="K13" s="14">
        <f ca="1">IF(H13=0,"",IF(I13=0,"",IF(OFFSET(ТоварСкидки!N15,-ТоварСкидки!A11,0)=0,0,VLOOKUP(H13,OFFSET(ТоварСкидки!B12:I110,-ТоварСкидки!A11,0),OFFSET(ТоварСкидки!N15,-ТоварСкидки!A11,0),FALSE))))</f>
      </c>
      <c r="L13" s="9">
        <f ca="1">IF(H13=0,"",IF(I13=0,"",IF(OFFSET(ТоварСкидки!N15,-ТоварСкидки!A11,0)=0,0,I13*VLOOKUP(H13,OFFSET(ТоварСкидки!B12:I110,-ТоварСкидки!A11,0),OFFSET(ТоварСкидки!N19,-ТоварСкидки!A11,0),FALSE))))</f>
      </c>
      <c r="M13" s="10">
        <f t="shared" si="1"/>
      </c>
      <c r="N13" s="10">
        <f t="shared" si="2"/>
      </c>
    </row>
    <row r="14" spans="1:14" ht="18" customHeight="1">
      <c r="A14" s="57">
        <f t="shared" si="0"/>
        <v>192</v>
      </c>
      <c r="B14" s="55">
        <f t="shared" si="3"/>
        <v>9</v>
      </c>
      <c r="C14" s="55">
        <f>IF(B13=1,B14+10,IF(B14=0,0,B14))</f>
        <v>19</v>
      </c>
      <c r="D14" s="55" t="str">
        <f>IF(E17+E13+E9+E5=0,"ноль рублей ",IF(C17=1,"рубль ",IF(OR(C17=2,C17=3,C17=4),"рубля ","рублей ")))</f>
        <v>рублей </v>
      </c>
      <c r="E14" s="55" t="str">
        <f>IF(B15=1,D18,IF(B15=2,D19,IF(B15=3,D20,IF(B15=4,D21,IF(B15=5,D22,IF(B15=6,D23,IF(B15=7,D24,IF(B15=8,D25,D26))))))))</f>
        <v>двести </v>
      </c>
      <c r="G14" s="8">
        <f>IF(H14=0,"",MAX(G3:G13)+1)</f>
      </c>
      <c r="H14" s="4"/>
      <c r="I14" s="4"/>
      <c r="J14" s="9">
        <f ca="1">IF(H14=0,"",IF(I14=0,"",I14*VLOOKUP(H14,OFFSET(ТоварСкидки!B13:I111,-ТоварСкидки!A12,0),2,FALSE)))</f>
      </c>
      <c r="K14" s="14">
        <f ca="1">IF(H14=0,"",IF(I14=0,"",IF(OFFSET(ТоварСкидки!N16,-ТоварСкидки!A12,0)=0,0,VLOOKUP(H14,OFFSET(ТоварСкидки!B13:I111,-ТоварСкидки!A12,0),OFFSET(ТоварСкидки!N16,-ТоварСкидки!A12,0),FALSE))))</f>
      </c>
      <c r="L14" s="9">
        <f ca="1">IF(H14=0,"",IF(I14=0,"",IF(OFFSET(ТоварСкидки!N16,-ТоварСкидки!A12,0)=0,0,I14*VLOOKUP(H14,OFFSET(ТоварСкидки!B13:I111,-ТоварСкидки!A12,0),OFFSET(ТоварСкидки!N20,-ТоварСкидки!A12,0),FALSE))))</f>
      </c>
      <c r="M14" s="10">
        <f t="shared" si="1"/>
      </c>
      <c r="N14" s="10">
        <f t="shared" si="2"/>
      </c>
    </row>
    <row r="15" spans="1:14" ht="18" customHeight="1">
      <c r="A15" s="57">
        <f t="shared" si="0"/>
        <v>1927</v>
      </c>
      <c r="B15" s="55">
        <f t="shared" si="3"/>
        <v>2</v>
      </c>
      <c r="C15" s="55">
        <f>B15</f>
        <v>2</v>
      </c>
      <c r="D15" s="60"/>
      <c r="E15" s="65" t="str">
        <f>IF(OR(C16=0,B16=1),"",IF(C16=2,C21,IF(C16=3,C22,IF(C16=4,C23,IF(C16=5,C24,IF(C16=6,C25,IF(C16=7,C26,IF(C16=8,D16,D17))))))))</f>
        <v>семьдесят </v>
      </c>
      <c r="G15" s="8">
        <f>IF(H15=0,"",MAX(G3:G14)+1)</f>
      </c>
      <c r="H15" s="4"/>
      <c r="I15" s="4"/>
      <c r="J15" s="9">
        <f ca="1">IF(H15=0,"",IF(I15=0,"",I15*VLOOKUP(H15,OFFSET(ТоварСкидки!B14:I112,-ТоварСкидки!A13,0),2,FALSE)))</f>
      </c>
      <c r="K15" s="14">
        <f ca="1">IF(H15=0,"",IF(I15=0,"",IF(OFFSET(ТоварСкидки!N17,-ТоварСкидки!A13,0)=0,0,VLOOKUP(H15,OFFSET(ТоварСкидки!B14:I112,-ТоварСкидки!A13,0),OFFSET(ТоварСкидки!N17,-ТоварСкидки!A13,0),FALSE))))</f>
      </c>
      <c r="L15" s="9">
        <f ca="1">IF(H15=0,"",IF(I15=0,"",IF(OFFSET(ТоварСкидки!N17,-ТоварСкидки!A13,0)=0,0,I15*VLOOKUP(H15,OFFSET(ТоварСкидки!B14:I112,-ТоварСкидки!A13,0),OFFSET(ТоварСкидки!N21,-ТоварСкидки!A13,0),FALSE))))</f>
      </c>
      <c r="M15" s="10">
        <f t="shared" si="1"/>
      </c>
      <c r="N15" s="10">
        <f t="shared" si="2"/>
      </c>
    </row>
    <row r="16" spans="1:14" ht="18" customHeight="1">
      <c r="A16" s="57">
        <f>D6</f>
        <v>19270</v>
      </c>
      <c r="B16" s="61">
        <f t="shared" si="3"/>
        <v>7</v>
      </c>
      <c r="C16" s="55">
        <f>IF(B16=1,"",B16)</f>
        <v>7</v>
      </c>
      <c r="D16" s="55" t="s">
        <v>24</v>
      </c>
      <c r="E16" s="65" t="str">
        <f>IF(B17=1,A18,IF(B17=2,A19,IF(B17=3,A20,IF(B17=4,A21,IF(B17=5,A22,IF(B17=6,A23,IF(B17=7,A24,IF(B17=8,A25,A26))))))))</f>
        <v>девять </v>
      </c>
      <c r="G16" s="8">
        <f>IF(H16=0,"",MAX(G3:H15)+1)</f>
      </c>
      <c r="H16" s="4"/>
      <c r="I16" s="4"/>
      <c r="J16" s="9">
        <f ca="1">IF(H16=0,"",IF(I16=0,"",I16*VLOOKUP(H16,OFFSET(ТоварСкидки!B15:I113,-ТоварСкидки!A14,0),2,FALSE)))</f>
      </c>
      <c r="K16" s="14">
        <f ca="1">IF(H16=0,"",IF(I16=0,"",IF(OFFSET(ТоварСкидки!N18,-ТоварСкидки!A14,0)=0,0,VLOOKUP(H16,OFFSET(ТоварСкидки!B15:I113,-ТоварСкидки!A14,0),OFFSET(ТоварСкидки!N18,-ТоварСкидки!A14,0),FALSE))))</f>
      </c>
      <c r="L16" s="9">
        <f ca="1">IF(H16=0,"",IF(I16=0,"",IF(OFFSET(ТоварСкидки!N18,-ТоварСкидки!A14,0)=0,0,I16*VLOOKUP(H16,OFFSET(ТоварСкидки!B15:I113,-ТоварСкидки!A14,0),OFFSET(ТоварСкидки!N22,-ТоварСкидки!A14,0),FALSE))))</f>
      </c>
      <c r="M16" s="10">
        <f t="shared" si="1"/>
      </c>
      <c r="N16" s="10">
        <f t="shared" si="2"/>
      </c>
    </row>
    <row r="17" spans="1:14" ht="18" customHeight="1">
      <c r="A17" s="62">
        <f>ROUND(100*(E24-D6),0)</f>
        <v>0</v>
      </c>
      <c r="B17" s="55">
        <f t="shared" si="3"/>
        <v>0</v>
      </c>
      <c r="C17" s="55">
        <f>IF(B16=1,B17+10,IF(B17=0,0,B17))</f>
        <v>0</v>
      </c>
      <c r="D17" s="55" t="s">
        <v>25</v>
      </c>
      <c r="E17" s="65">
        <f>B15*100+B16*10+B17</f>
        <v>270</v>
      </c>
      <c r="G17" s="8">
        <f>IF(H17=0,"",MAX(G3:G16)+1)</f>
      </c>
      <c r="H17" s="4"/>
      <c r="I17" s="4"/>
      <c r="J17" s="9">
        <f ca="1">IF(H17=0,"",IF(I17=0,"",I17*VLOOKUP(H17,OFFSET(ТоварСкидки!B16:I114,-ТоварСкидки!A15,0),2,FALSE)))</f>
      </c>
      <c r="K17" s="14">
        <f ca="1">IF(H17=0,"",IF(I17=0,"",IF(OFFSET(ТоварСкидки!N19,-ТоварСкидки!A15,0)=0,0,VLOOKUP(H17,OFFSET(ТоварСкидки!B16:I114,-ТоварСкидки!A15,0),OFFSET(ТоварСкидки!N19,-ТоварСкидки!A15,0),FALSE))))</f>
      </c>
      <c r="L17" s="9">
        <f ca="1">IF(H17=0,"",IF(I17=0,"",IF(OFFSET(ТоварСкидки!N19,-ТоварСкидки!A15,0)=0,0,I17*VLOOKUP(H17,OFFSET(ТоварСкидки!B16:I114,-ТоварСкидки!A15,0),OFFSET(ТоварСкидки!N23,-ТоварСкидки!A15,0),FALSE))))</f>
      </c>
      <c r="M17" s="10">
        <f t="shared" si="1"/>
      </c>
      <c r="N17" s="10">
        <f t="shared" si="2"/>
      </c>
    </row>
    <row r="18" spans="1:14" ht="18" customHeight="1">
      <c r="A18" s="55" t="s">
        <v>26</v>
      </c>
      <c r="B18" s="55" t="s">
        <v>27</v>
      </c>
      <c r="C18" s="55" t="s">
        <v>28</v>
      </c>
      <c r="D18" s="54" t="s">
        <v>29</v>
      </c>
      <c r="E18" s="66">
        <f>IF(D11=2,C21,"")&amp;IF(D11=3,C22,"")&amp;IF(D11=4,C23,"")&amp;IF(D11=5,C24,"")&amp;IF(D11=6,C25,"")&amp;IF(D11=7,C26,"")&amp;IF(D11=8,D16,"")&amp;IF(D11=9,D17,"")</f>
      </c>
      <c r="G18" s="8">
        <f>IF(H18=0,"",MAX(G3:G17)+1)</f>
      </c>
      <c r="H18" s="4"/>
      <c r="I18" s="4"/>
      <c r="J18" s="9">
        <f ca="1">IF(H18=0,"",IF(I18=0,"",I18*VLOOKUP(H18,OFFSET(ТоварСкидки!B17:I115,-ТоварСкидки!A16,0),2,FALSE)))</f>
      </c>
      <c r="K18" s="14">
        <f ca="1">IF(H18=0,"",IF(I18=0,"",IF(OFFSET(ТоварСкидки!N20,-ТоварСкидки!A16,0)=0,0,VLOOKUP(H18,OFFSET(ТоварСкидки!B17:I115,-ТоварСкидки!A16,0),OFFSET(ТоварСкидки!N20,-ТоварСкидки!A16,0),FALSE))))</f>
      </c>
      <c r="L18" s="9">
        <f ca="1">IF(H18=0,"",IF(I18=0,"",IF(OFFSET(ТоварСкидки!N20,-ТоварСкидки!A16,0)=0,0,I18*VLOOKUP(H18,OFFSET(ТоварСкидки!B17:I115,-ТоварСкидки!A16,0),OFFSET(ТоварСкидки!N24,-ТоварСкидки!A16,0),FALSE))))</f>
      </c>
      <c r="M18" s="10">
        <f t="shared" si="1"/>
      </c>
      <c r="N18" s="10">
        <f t="shared" si="2"/>
      </c>
    </row>
    <row r="19" spans="1:14" ht="18" customHeight="1">
      <c r="A19" s="55" t="s">
        <v>30</v>
      </c>
      <c r="B19" s="55" t="s">
        <v>31</v>
      </c>
      <c r="C19" s="55" t="s">
        <v>32</v>
      </c>
      <c r="D19" s="55" t="s">
        <v>33</v>
      </c>
      <c r="E19" s="66">
        <f>IF(D12=0,"","")&amp;IF(D12=1,B18,"")&amp;IF(D12=2,B19,"")&amp;IF(D12=3,A20,"")&amp;IF(D12=4,A21,"")&amp;IF(D12=5,A22,"")&amp;IF(D12=6,A23,"")&amp;IF(D12=7,A24,"")&amp;IF(D12=8,A25,"")&amp;IF(D12=9,A26,"")</f>
      </c>
      <c r="G19" s="8">
        <f>IF(H19=0,"",MAX(G3:G18)+1)</f>
      </c>
      <c r="H19" s="4"/>
      <c r="I19" s="4"/>
      <c r="J19" s="9">
        <f ca="1">IF(H19=0,"",IF(I19=0,"",I19*VLOOKUP(H19,OFFSET(ТоварСкидки!B18:I116,-ТоварСкидки!A17,0),2,FALSE)))</f>
      </c>
      <c r="K19" s="14">
        <f ca="1">IF(H19=0,"",IF(I19=0,"",IF(OFFSET(ТоварСкидки!N21,-ТоварСкидки!A17,0)=0,0,VLOOKUP(H19,OFFSET(ТоварСкидки!B18:I116,-ТоварСкидки!A17,0),OFFSET(ТоварСкидки!N21,-ТоварСкидки!A17,0),FALSE))))</f>
      </c>
      <c r="L19" s="9">
        <f ca="1">IF(H19=0,"",IF(I19=0,"",IF(OFFSET(ТоварСкидки!N21,-ТоварСкидки!A17,0)=0,0,I19*VLOOKUP(H19,OFFSET(ТоварСкидки!B18:I116,-ТоварСкидки!A17,0),OFFSET(ТоварСкидки!N25,-ТоварСкидки!A17,0),FALSE))))</f>
      </c>
      <c r="M19" s="10">
        <f t="shared" si="1"/>
      </c>
      <c r="N19" s="10">
        <f t="shared" si="2"/>
      </c>
    </row>
    <row r="20" spans="1:14" ht="18" customHeight="1">
      <c r="A20" s="55" t="s">
        <v>34</v>
      </c>
      <c r="B20" s="55" t="s">
        <v>35</v>
      </c>
      <c r="C20" s="54" t="s">
        <v>36</v>
      </c>
      <c r="D20" s="55" t="s">
        <v>37</v>
      </c>
      <c r="E20" s="66">
        <f>IF(A17=10,B20,"")&amp;IF(A17=11,B21,"")&amp;IF(A17=12,B22,"")&amp;IF(A17=13,B23,"")&amp;IF(A17=14,B24,"")&amp;IF(A17=15,B25,"")&amp;IF(A17=16,B26,"")&amp;IF(A17=17,C18,"")&amp;IF(A17=18,C19,"")&amp;IF(A17=19,C20,"")</f>
      </c>
      <c r="G20" s="8">
        <f>IF(H20=0,"",MAX(G3:G19)+1)</f>
      </c>
      <c r="H20" s="4"/>
      <c r="I20" s="4"/>
      <c r="J20" s="9">
        <f ca="1">IF(H20=0,"",IF(I20=0,"",I20*VLOOKUP(H20,OFFSET(ТоварСкидки!B19:I117,-ТоварСкидки!A18,0),2,FALSE)))</f>
      </c>
      <c r="K20" s="14">
        <f ca="1">IF(H20=0,"",IF(I20=0,"",IF(OFFSET(ТоварСкидки!N22,-ТоварСкидки!A18,0)=0,0,VLOOKUP(H20,OFFSET(ТоварСкидки!B19:I117,-ТоварСкидки!A18,0),OFFSET(ТоварСкидки!N22,-ТоварСкидки!A18,0),FALSE))))</f>
      </c>
      <c r="L20" s="9">
        <f ca="1">IF(H20=0,"",IF(I20=0,"",IF(OFFSET(ТоварСкидки!N22,-ТоварСкидки!A18,0)=0,0,I20*VLOOKUP(H20,OFFSET(ТоварСкидки!B19:I117,-ТоварСкидки!A18,0),OFFSET(ТоварСкидки!N26,-ТоварСкидки!A18,0),FALSE))))</f>
      </c>
      <c r="M20" s="10">
        <f t="shared" si="1"/>
      </c>
      <c r="N20" s="10">
        <f t="shared" si="2"/>
      </c>
    </row>
    <row r="21" spans="1:14" ht="18" customHeight="1">
      <c r="A21" s="55" t="s">
        <v>38</v>
      </c>
      <c r="B21" s="55" t="s">
        <v>39</v>
      </c>
      <c r="C21" s="55" t="s">
        <v>40</v>
      </c>
      <c r="D21" s="55" t="s">
        <v>41</v>
      </c>
      <c r="E21" s="66" t="str">
        <f>IF(A17=0,"ноль ",IF(AND(A17&gt;9,A17&lt;=19),E20,E18&amp;E19))</f>
        <v>ноль </v>
      </c>
      <c r="G21" s="8">
        <f>IF(H21=0,"",MAX(G3:G20)+1)</f>
      </c>
      <c r="H21" s="4"/>
      <c r="I21" s="4"/>
      <c r="J21" s="9">
        <f ca="1">IF(H21=0,"",IF(I21=0,"",I21*VLOOKUP(H21,OFFSET(ТоварСкидки!B20:I118,-ТоварСкидки!A19,0),2,FALSE)))</f>
      </c>
      <c r="K21" s="14">
        <f ca="1">IF(H21=0,"",IF(I21=0,"",IF(OFFSET(ТоварСкидки!N23,-ТоварСкидки!A19,0)=0,0,VLOOKUP(H21,OFFSET(ТоварСкидки!B20:I118,-ТоварСкидки!A19,0),OFFSET(ТоварСкидки!N23,-ТоварСкидки!A19,0),FALSE))))</f>
      </c>
      <c r="L21" s="9">
        <f ca="1">IF(H21=0,"",IF(I21=0,"",IF(OFFSET(ТоварСкидки!N23,-ТоварСкидки!A19,0)=0,0,I21*VLOOKUP(H21,OFFSET(ТоварСкидки!B20:I118,-ТоварСкидки!A19,0),OFFSET(ТоварСкидки!N27,-ТоварСкидки!A19,0),FALSE))))</f>
      </c>
      <c r="M21" s="10">
        <f t="shared" si="1"/>
      </c>
      <c r="N21" s="10">
        <f t="shared" si="2"/>
      </c>
    </row>
    <row r="22" spans="1:14" ht="18" customHeight="1" thickBot="1">
      <c r="A22" s="55" t="s">
        <v>42</v>
      </c>
      <c r="B22" s="55" t="s">
        <v>43</v>
      </c>
      <c r="C22" s="55" t="s">
        <v>44</v>
      </c>
      <c r="D22" s="55" t="s">
        <v>45</v>
      </c>
      <c r="E22" s="67"/>
      <c r="G22" s="75">
        <f>IF(H22=0,"",MAX(G3:G21)+1)</f>
      </c>
      <c r="H22" s="76"/>
      <c r="I22" s="76"/>
      <c r="J22" s="77">
        <f ca="1">IF(H22=0,"",IF(I22=0,"",I22*VLOOKUP(H22,OFFSET(ТоварСкидки!B21:I119,-ТоварСкидки!A20,0),2,FALSE)))</f>
      </c>
      <c r="K22" s="78">
        <f ca="1">IF(H22=0,"",IF(I22=0,"",IF(OFFSET(ТоварСкидки!N24,-ТоварСкидки!A20,0)=0,0,VLOOKUP(H22,OFFSET(ТоварСкидки!B21:I119,-ТоварСкидки!A20,0),OFFSET(ТоварСкидки!N24,-ТоварСкидки!A20,0),FALSE))))</f>
      </c>
      <c r="L22" s="77">
        <f ca="1">IF(H22=0,"",IF(I22=0,"",IF(OFFSET(ТоварСкидки!N24,-ТоварСкидки!A20,0)=0,0,I22*VLOOKUP(H22,OFFSET(ТоварСкидки!B21:I119,-ТоварСкидки!A20,0),OFFSET(ТоварСкидки!N28,-ТоварСкидки!A20,0),FALSE))))</f>
      </c>
      <c r="M22" s="79">
        <f t="shared" si="1"/>
      </c>
      <c r="N22" s="79">
        <f t="shared" si="2"/>
      </c>
    </row>
    <row r="23" spans="1:14" ht="18" customHeight="1">
      <c r="A23" s="55" t="s">
        <v>46</v>
      </c>
      <c r="B23" s="55" t="s">
        <v>47</v>
      </c>
      <c r="C23" s="55" t="s">
        <v>48</v>
      </c>
      <c r="D23" s="55" t="s">
        <v>49</v>
      </c>
      <c r="E23" s="68"/>
      <c r="G23" s="83" t="str">
        <f>IF(SUM(J3:J22)=0,"",IF(H2="Индивидуальные скидки","",IF(SUM(J3:J22)&lt;ТоварСкидки!D1,CONCATENATE("При заказе на сумму менее ",ТоварСкидки!D1," рублей - скидка не предоставляется"),IF(SUM(J3:J22)&gt;=ТоварСкидки!D1,CONCATENATE("Сумма всех скидок ",ТоварСкидки!K8,"заказа составила: ",TEXT(ROUND(SUM(M3:M22),2),"# ## 0,00"),"р.")))))</f>
        <v>Сумма всех скидок PRO заказа составила: 0,00р.</v>
      </c>
      <c r="H23" s="52"/>
      <c r="I23" s="52"/>
      <c r="J23" s="25"/>
      <c r="K23" s="13"/>
      <c r="L23" s="25"/>
      <c r="M23" s="53"/>
      <c r="N23" s="84"/>
    </row>
    <row r="24" spans="1:14" ht="18" customHeight="1" thickBot="1">
      <c r="A24" s="55" t="s">
        <v>50</v>
      </c>
      <c r="B24" s="55" t="s">
        <v>51</v>
      </c>
      <c r="C24" s="55" t="s">
        <v>52</v>
      </c>
      <c r="D24" s="55" t="s">
        <v>53</v>
      </c>
      <c r="E24" s="69">
        <f>SUM(N3:N22)</f>
        <v>19270</v>
      </c>
      <c r="G24" s="85" t="str">
        <f>IF(SUM(J3:J22)=0,"",CONCATENATE("Итого к оплате: ",TEXT(ROUND(SUM(N3:N22),2),"# ## 0,00"),"р."," (",A27,")"))</f>
        <v>Итого к оплате: 19 270,00р. (Девятнадцать тысяч двести семьдесят рублей ноль копеек)</v>
      </c>
      <c r="H24" s="86"/>
      <c r="I24" s="86"/>
      <c r="J24" s="87"/>
      <c r="K24" s="88"/>
      <c r="L24" s="87"/>
      <c r="M24" s="89"/>
      <c r="N24" s="90"/>
    </row>
    <row r="25" spans="1:14" ht="22.5" customHeight="1">
      <c r="A25" s="55" t="s">
        <v>54</v>
      </c>
      <c r="B25" s="55" t="s">
        <v>55</v>
      </c>
      <c r="C25" s="55" t="s">
        <v>56</v>
      </c>
      <c r="D25" s="55" t="s">
        <v>57</v>
      </c>
      <c r="E25" s="68"/>
      <c r="G25" s="80"/>
      <c r="H25" s="80"/>
      <c r="I25" s="80"/>
      <c r="J25" s="81"/>
      <c r="K25" s="82"/>
      <c r="L25" s="81"/>
      <c r="M25" s="81"/>
      <c r="N25" s="80"/>
    </row>
    <row r="26" spans="1:14" ht="18">
      <c r="A26" s="55" t="s">
        <v>58</v>
      </c>
      <c r="B26" s="55" t="s">
        <v>59</v>
      </c>
      <c r="C26" s="55" t="s">
        <v>60</v>
      </c>
      <c r="D26" s="55" t="s">
        <v>61</v>
      </c>
      <c r="E26" s="70"/>
      <c r="G26" s="39"/>
      <c r="H26" s="39"/>
      <c r="I26" s="40"/>
      <c r="J26" s="41"/>
      <c r="K26" s="42"/>
      <c r="L26" s="41"/>
      <c r="M26" s="41"/>
      <c r="N26" s="39"/>
    </row>
    <row r="27" spans="1:14" ht="18">
      <c r="A27" s="63" t="str">
        <f>SUBSTITUTE(A28,B4,B5,1)</f>
        <v>Девятнадцать тысяч двести семьдесят рублей ноль копеек</v>
      </c>
      <c r="B27" s="64"/>
      <c r="C27" s="64"/>
      <c r="D27" s="64"/>
      <c r="E27" s="71"/>
      <c r="G27" s="39"/>
      <c r="H27" s="39"/>
      <c r="I27" s="39"/>
      <c r="J27" s="41"/>
      <c r="K27" s="42"/>
      <c r="L27" s="41"/>
      <c r="M27" s="41"/>
      <c r="N27" s="39"/>
    </row>
    <row r="28" spans="1:14" ht="18">
      <c r="A28" s="72" t="str">
        <f>CONCATENATE(A1,A2,A3,B1,B2)</f>
        <v>девятнадцать тысяч двести семьдесят рублей ноль копеек</v>
      </c>
      <c r="B28" s="73"/>
      <c r="C28" s="73"/>
      <c r="D28" s="73"/>
      <c r="E28" s="74"/>
      <c r="G28" s="39"/>
      <c r="H28" s="39"/>
      <c r="I28" s="39"/>
      <c r="J28" s="41"/>
      <c r="K28" s="43"/>
      <c r="L28" s="41"/>
      <c r="M28" s="41"/>
      <c r="N28" s="39"/>
    </row>
    <row r="29" ht="18">
      <c r="K29" s="15"/>
    </row>
    <row r="30" ht="18">
      <c r="K30" s="15"/>
    </row>
    <row r="31" ht="18">
      <c r="K31" s="15"/>
    </row>
    <row r="32" ht="18">
      <c r="K32" s="15"/>
    </row>
  </sheetData>
  <sheetProtection sheet="1" objects="1" scenarios="1"/>
  <protectedRanges>
    <protectedRange sqref="H2:H22 I3:I22" name="Диапазон1"/>
  </protectedRanges>
  <mergeCells count="1">
    <mergeCell ref="I1:J1"/>
  </mergeCells>
  <conditionalFormatting sqref="N3:N22">
    <cfRule type="cellIs" priority="1" dxfId="0" operator="lessThanOrEqual" stopIfTrue="1">
      <formula>0</formula>
    </cfRule>
  </conditionalFormatting>
  <conditionalFormatting sqref="K3:K22">
    <cfRule type="cellIs" priority="2" dxfId="0" operator="greaterThanOrEqual" stopIfTrue="1">
      <formula>1</formula>
    </cfRule>
  </conditionalFormatting>
  <dataValidations count="3">
    <dataValidation type="list" allowBlank="1" showInputMessage="1" showErrorMessage="1" sqref="I3:I22">
      <formula1>Цифры</formula1>
    </dataValidation>
    <dataValidation type="list" allowBlank="1" showInputMessage="1" showErrorMessage="1" sqref="H3:H22">
      <formula1>Товар</formula1>
    </dataValidation>
    <dataValidation type="list" allowBlank="1" showInputMessage="1" showErrorMessage="1" sqref="H2">
      <formula1>Нал</formula1>
    </dataValidation>
  </dataValidations>
  <printOptions horizontalCentered="1"/>
  <pageMargins left="0.15748031496062992" right="0.15748031496062992" top="0.1968503937007874" bottom="0.3937007874015748" header="0.2362204724409449" footer="0.3937007874015748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OLEGA</cp:lastModifiedBy>
  <cp:lastPrinted>2013-10-01T09:35:57Z</cp:lastPrinted>
  <dcterms:created xsi:type="dcterms:W3CDTF">2007-12-11T12:21:47Z</dcterms:created>
  <dcterms:modified xsi:type="dcterms:W3CDTF">2013-11-18T08:59:50Z</dcterms:modified>
  <cp:category/>
  <cp:version/>
  <cp:contentType/>
  <cp:contentStatus/>
</cp:coreProperties>
</file>